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theme/themeOverride1.xml" ContentType="application/vnd.openxmlformats-officedocument.themeOverride+xml"/>
  <Override PartName="/xl/charts/chart2.xml" ContentType="application/vnd.openxmlformats-officedocument.drawingml.chart+xml"/>
  <Override PartName="/xl/theme/themeOverride2.xml" ContentType="application/vnd.openxmlformats-officedocument.themeOverride+xml"/>
  <Override PartName="/xl/charts/chart3.xml" ContentType="application/vnd.openxmlformats-officedocument.drawingml.chart+xml"/>
  <Override PartName="/xl/theme/themeOverride3.xml" ContentType="application/vnd.openxmlformats-officedocument.themeOverride+xml"/>
  <Override PartName="/xl/charts/chart4.xml" ContentType="application/vnd.openxmlformats-officedocument.drawingml.chart+xml"/>
  <Override PartName="/xl/theme/themeOverride4.xml" ContentType="application/vnd.openxmlformats-officedocument.themeOverride+xml"/>
  <Override PartName="/xl/charts/chart5.xml" ContentType="application/vnd.openxmlformats-officedocument.drawingml.chart+xml"/>
  <Override PartName="/xl/theme/themeOverride5.xml" ContentType="application/vnd.openxmlformats-officedocument.themeOverride+xml"/>
  <Override PartName="/xl/charts/chart6.xml" ContentType="application/vnd.openxmlformats-officedocument.drawingml.chart+xml"/>
  <Override PartName="/xl/theme/themeOverride6.xml" ContentType="application/vnd.openxmlformats-officedocument.themeOverride+xml"/>
  <Override PartName="/xl/charts/chart7.xml" ContentType="application/vnd.openxmlformats-officedocument.drawingml.chart+xml"/>
  <Override PartName="/xl/theme/themeOverride7.xml" ContentType="application/vnd.openxmlformats-officedocument.themeOverride+xml"/>
  <Override PartName="/xl/charts/chart8.xml" ContentType="application/vnd.openxmlformats-officedocument.drawingml.chart+xml"/>
  <Override PartName="/xl/theme/themeOverride8.xml" ContentType="application/vnd.openxmlformats-officedocument.themeOverride+xml"/>
  <Override PartName="/xl/charts/chart9.xml" ContentType="application/vnd.openxmlformats-officedocument.drawingml.chart+xml"/>
  <Override PartName="/xl/theme/themeOverride9.xml" ContentType="application/vnd.openxmlformats-officedocument.themeOverride+xml"/>
  <Override PartName="/xl/charts/chart10.xml" ContentType="application/vnd.openxmlformats-officedocument.drawingml.chart+xml"/>
  <Override PartName="/xl/theme/themeOverride10.xml" ContentType="application/vnd.openxmlformats-officedocument.themeOverride+xml"/>
  <Override PartName="/xl/charts/chart11.xml" ContentType="application/vnd.openxmlformats-officedocument.drawingml.chart+xml"/>
  <Override PartName="/xl/theme/themeOverride11.xml" ContentType="application/vnd.openxmlformats-officedocument.themeOverride+xml"/>
  <Override PartName="/xl/charts/chart12.xml" ContentType="application/vnd.openxmlformats-officedocument.drawingml.chart+xml"/>
  <Override PartName="/xl/theme/themeOverride12.xml" ContentType="application/vnd.openxmlformats-officedocument.themeOverride+xml"/>
  <Override PartName="/xl/charts/chart13.xml" ContentType="application/vnd.openxmlformats-officedocument.drawingml.chart+xml"/>
  <Override PartName="/xl/theme/themeOverride13.xml" ContentType="application/vnd.openxmlformats-officedocument.themeOverride+xml"/>
  <Override PartName="/xl/charts/chart14.xml" ContentType="application/vnd.openxmlformats-officedocument.drawingml.chart+xml"/>
  <Override PartName="/xl/theme/themeOverride14.xml" ContentType="application/vnd.openxmlformats-officedocument.themeOverride+xml"/>
  <Override PartName="/xl/charts/chart15.xml" ContentType="application/vnd.openxmlformats-officedocument.drawingml.chart+xml"/>
  <Override PartName="/xl/theme/themeOverride15.xml" ContentType="application/vnd.openxmlformats-officedocument.themeOverride+xml"/>
  <Override PartName="/xl/charts/chart16.xml" ContentType="application/vnd.openxmlformats-officedocument.drawingml.chart+xml"/>
  <Override PartName="/xl/theme/themeOverride16.xml" ContentType="application/vnd.openxmlformats-officedocument.themeOverride+xml"/>
  <Override PartName="/xl/charts/chart17.xml" ContentType="application/vnd.openxmlformats-officedocument.drawingml.chart+xml"/>
  <Override PartName="/xl/theme/themeOverride17.xml" ContentType="application/vnd.openxmlformats-officedocument.themeOverride+xml"/>
  <Override PartName="/xl/charts/chart18.xml" ContentType="application/vnd.openxmlformats-officedocument.drawingml.chart+xml"/>
  <Override PartName="/xl/theme/themeOverride18.xml" ContentType="application/vnd.openxmlformats-officedocument.themeOverride+xml"/>
  <Override PartName="/xl/charts/chart19.xml" ContentType="application/vnd.openxmlformats-officedocument.drawingml.chart+xml"/>
  <Override PartName="/xl/theme/themeOverride19.xml" ContentType="application/vnd.openxmlformats-officedocument.themeOverride+xml"/>
  <Override PartName="/xl/charts/chart20.xml" ContentType="application/vnd.openxmlformats-officedocument.drawingml.chart+xml"/>
  <Override PartName="/xl/theme/themeOverride20.xml" ContentType="application/vnd.openxmlformats-officedocument.themeOverride+xml"/>
  <Override PartName="/xl/charts/chart21.xml" ContentType="application/vnd.openxmlformats-officedocument.drawingml.chart+xml"/>
  <Override PartName="/xl/theme/themeOverride21.xml" ContentType="application/vnd.openxmlformats-officedocument.themeOverride+xml"/>
  <Override PartName="/xl/charts/chart22.xml" ContentType="application/vnd.openxmlformats-officedocument.drawingml.chart+xml"/>
  <Override PartName="/xl/theme/themeOverride22.xml" ContentType="application/vnd.openxmlformats-officedocument.themeOverride+xml"/>
  <Override PartName="/xl/charts/chart23.xml" ContentType="application/vnd.openxmlformats-officedocument.drawingml.chart+xml"/>
  <Override PartName="/xl/theme/themeOverride23.xml" ContentType="application/vnd.openxmlformats-officedocument.themeOverride+xml"/>
  <Override PartName="/xl/charts/chart24.xml" ContentType="application/vnd.openxmlformats-officedocument.drawingml.chart+xml"/>
  <Override PartName="/xl/theme/themeOverride24.xml" ContentType="application/vnd.openxmlformats-officedocument.themeOverride+xml"/>
  <Override PartName="/xl/charts/chart25.xml" ContentType="application/vnd.openxmlformats-officedocument.drawingml.chart+xml"/>
  <Override PartName="/xl/theme/themeOverride25.xml" ContentType="application/vnd.openxmlformats-officedocument.themeOverride+xml"/>
  <Override PartName="/xl/charts/chart26.xml" ContentType="application/vnd.openxmlformats-officedocument.drawingml.chart+xml"/>
  <Override PartName="/xl/theme/themeOverride26.xml" ContentType="application/vnd.openxmlformats-officedocument.themeOverride+xml"/>
  <Override PartName="/xl/charts/chart27.xml" ContentType="application/vnd.openxmlformats-officedocument.drawingml.chart+xml"/>
  <Override PartName="/xl/theme/themeOverride27.xml" ContentType="application/vnd.openxmlformats-officedocument.themeOverride+xml"/>
  <Override PartName="/xl/charts/chart28.xml" ContentType="application/vnd.openxmlformats-officedocument.drawingml.chart+xml"/>
  <Override PartName="/xl/theme/themeOverride28.xml" ContentType="application/vnd.openxmlformats-officedocument.themeOverride+xml"/>
  <Override PartName="/xl/charts/chart29.xml" ContentType="application/vnd.openxmlformats-officedocument.drawingml.chart+xml"/>
  <Override PartName="/xl/theme/themeOverride29.xml" ContentType="application/vnd.openxmlformats-officedocument.themeOverride+xml"/>
  <Override PartName="/xl/charts/chart30.xml" ContentType="application/vnd.openxmlformats-officedocument.drawingml.chart+xml"/>
  <Override PartName="/xl/theme/themeOverride30.xml" ContentType="application/vnd.openxmlformats-officedocument.themeOverride+xml"/>
  <Override PartName="/xl/charts/chart31.xml" ContentType="application/vnd.openxmlformats-officedocument.drawingml.chart+xml"/>
  <Override PartName="/xl/theme/themeOverride31.xml" ContentType="application/vnd.openxmlformats-officedocument.themeOverride+xml"/>
  <Override PartName="/xl/charts/chart32.xml" ContentType="application/vnd.openxmlformats-officedocument.drawingml.chart+xml"/>
  <Override PartName="/xl/theme/themeOverride32.xml" ContentType="application/vnd.openxmlformats-officedocument.themeOverride+xml"/>
  <Override PartName="/xl/charts/chart33.xml" ContentType="application/vnd.openxmlformats-officedocument.drawingml.chart+xml"/>
  <Override PartName="/xl/theme/themeOverride33.xml" ContentType="application/vnd.openxmlformats-officedocument.themeOverride+xml"/>
  <Override PartName="/xl/charts/chart34.xml" ContentType="application/vnd.openxmlformats-officedocument.drawingml.chart+xml"/>
  <Override PartName="/xl/theme/themeOverride34.xml" ContentType="application/vnd.openxmlformats-officedocument.themeOverride+xml"/>
  <Override PartName="/xl/comments2.xml" ContentType="application/vnd.openxmlformats-officedocument.spreadsheetml.comments+xml"/>
  <Override PartName="/xl/drawings/drawing3.xml" ContentType="application/vnd.openxmlformats-officedocument.drawing+xml"/>
  <Override PartName="/xl/charts/chart35.xml" ContentType="application/vnd.openxmlformats-officedocument.drawingml.chart+xml"/>
  <Override PartName="/xl/theme/themeOverride35.xml" ContentType="application/vnd.openxmlformats-officedocument.themeOverride+xml"/>
  <Override PartName="/xl/charts/chart36.xml" ContentType="application/vnd.openxmlformats-officedocument.drawingml.chart+xml"/>
  <Override PartName="/xl/theme/themeOverride36.xml" ContentType="application/vnd.openxmlformats-officedocument.themeOverride+xml"/>
  <Override PartName="/xl/charts/chart37.xml" ContentType="application/vnd.openxmlformats-officedocument.drawingml.chart+xml"/>
  <Override PartName="/xl/theme/themeOverride37.xml" ContentType="application/vnd.openxmlformats-officedocument.themeOverride+xml"/>
  <Override PartName="/xl/charts/chart38.xml" ContentType="application/vnd.openxmlformats-officedocument.drawingml.chart+xml"/>
  <Override PartName="/xl/theme/themeOverride38.xml" ContentType="application/vnd.openxmlformats-officedocument.themeOverride+xml"/>
  <Override PartName="/xl/charts/chart39.xml" ContentType="application/vnd.openxmlformats-officedocument.drawingml.chart+xml"/>
  <Override PartName="/xl/theme/themeOverride39.xml" ContentType="application/vnd.openxmlformats-officedocument.themeOverride+xml"/>
  <Override PartName="/xl/charts/chart40.xml" ContentType="application/vnd.openxmlformats-officedocument.drawingml.chart+xml"/>
  <Override PartName="/xl/theme/themeOverride40.xml" ContentType="application/vnd.openxmlformats-officedocument.themeOverride+xml"/>
  <Override PartName="/xl/charts/chart41.xml" ContentType="application/vnd.openxmlformats-officedocument.drawingml.chart+xml"/>
  <Override PartName="/xl/theme/themeOverride41.xml" ContentType="application/vnd.openxmlformats-officedocument.themeOverride+xml"/>
  <Override PartName="/xl/charts/chart42.xml" ContentType="application/vnd.openxmlformats-officedocument.drawingml.chart+xml"/>
  <Override PartName="/xl/theme/themeOverride42.xml" ContentType="application/vnd.openxmlformats-officedocument.themeOverride+xml"/>
  <Override PartName="/xl/drawings/drawing4.xml" ContentType="application/vnd.openxmlformats-officedocument.drawing+xml"/>
  <Override PartName="/xl/charts/chart43.xml" ContentType="application/vnd.openxmlformats-officedocument.drawingml.chart+xml"/>
  <Override PartName="/xl/theme/themeOverride43.xml" ContentType="application/vnd.openxmlformats-officedocument.themeOverride+xml"/>
  <Override PartName="/xl/charts/chart44.xml" ContentType="application/vnd.openxmlformats-officedocument.drawingml.chart+xml"/>
  <Override PartName="/xl/theme/themeOverride44.xml" ContentType="application/vnd.openxmlformats-officedocument.themeOverride+xml"/>
  <Override PartName="/xl/charts/chart45.xml" ContentType="application/vnd.openxmlformats-officedocument.drawingml.chart+xml"/>
  <Override PartName="/xl/theme/themeOverride45.xml" ContentType="application/vnd.openxmlformats-officedocument.themeOverride+xml"/>
  <Override PartName="/xl/charts/chart46.xml" ContentType="application/vnd.openxmlformats-officedocument.drawingml.chart+xml"/>
  <Override PartName="/xl/theme/themeOverride46.xml" ContentType="application/vnd.openxmlformats-officedocument.themeOverride+xml"/>
  <Override PartName="/xl/charts/chart47.xml" ContentType="application/vnd.openxmlformats-officedocument.drawingml.chart+xml"/>
  <Override PartName="/xl/theme/themeOverride47.xml" ContentType="application/vnd.openxmlformats-officedocument.themeOverride+xml"/>
  <Override PartName="/xl/charts/chart48.xml" ContentType="application/vnd.openxmlformats-officedocument.drawingml.chart+xml"/>
  <Override PartName="/xl/theme/themeOverride48.xml" ContentType="application/vnd.openxmlformats-officedocument.themeOverride+xml"/>
  <Override PartName="/xl/charts/chart49.xml" ContentType="application/vnd.openxmlformats-officedocument.drawingml.chart+xml"/>
  <Override PartName="/xl/theme/themeOverride49.xml" ContentType="application/vnd.openxmlformats-officedocument.themeOverride+xml"/>
  <Override PartName="/xl/charts/chart50.xml" ContentType="application/vnd.openxmlformats-officedocument.drawingml.chart+xml"/>
  <Override PartName="/xl/theme/themeOverride50.xml" ContentType="application/vnd.openxmlformats-officedocument.themeOverride+xml"/>
  <Override PartName="/xl/charts/chart51.xml" ContentType="application/vnd.openxmlformats-officedocument.drawingml.chart+xml"/>
  <Override PartName="/xl/theme/themeOverride51.xml" ContentType="application/vnd.openxmlformats-officedocument.themeOverride+xml"/>
  <Override PartName="/xl/charts/chart52.xml" ContentType="application/vnd.openxmlformats-officedocument.drawingml.chart+xml"/>
  <Override PartName="/xl/theme/themeOverride52.xml" ContentType="application/vnd.openxmlformats-officedocument.themeOverride+xml"/>
  <Override PartName="/xl/charts/chart53.xml" ContentType="application/vnd.openxmlformats-officedocument.drawingml.chart+xml"/>
  <Override PartName="/xl/theme/themeOverride53.xml" ContentType="application/vnd.openxmlformats-officedocument.themeOverride+xml"/>
  <Override PartName="/xl/drawings/drawing5.xml" ContentType="application/vnd.openxmlformats-officedocument.drawing+xml"/>
  <Override PartName="/xl/charts/chart54.xml" ContentType="application/vnd.openxmlformats-officedocument.drawingml.chart+xml"/>
  <Override PartName="/xl/theme/themeOverride54.xml" ContentType="application/vnd.openxmlformats-officedocument.themeOverride+xml"/>
  <Override PartName="/xl/charts/chart55.xml" ContentType="application/vnd.openxmlformats-officedocument.drawingml.chart+xml"/>
  <Override PartName="/xl/theme/themeOverride55.xml" ContentType="application/vnd.openxmlformats-officedocument.themeOverride+xml"/>
  <Override PartName="/xl/charts/chart56.xml" ContentType="application/vnd.openxmlformats-officedocument.drawingml.chart+xml"/>
  <Override PartName="/xl/theme/themeOverride56.xml" ContentType="application/vnd.openxmlformats-officedocument.themeOverride+xml"/>
  <Override PartName="/xl/drawings/drawing6.xml" ContentType="application/vnd.openxmlformats-officedocument.drawing+xml"/>
  <Override PartName="/xl/charts/chart57.xml" ContentType="application/vnd.openxmlformats-officedocument.drawingml.chart+xml"/>
  <Override PartName="/xl/charts/chart58.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ThisWorkbook" defaultThemeVersion="124226"/>
  <mc:AlternateContent xmlns:mc="http://schemas.openxmlformats.org/markup-compatibility/2006">
    <mc:Choice Requires="x15">
      <x15ac:absPath xmlns:x15ac="http://schemas.microsoft.com/office/spreadsheetml/2010/11/ac" url="C:\Users\esser\Desktop\Bdgt2026\Bdgt2026\"/>
    </mc:Choice>
  </mc:AlternateContent>
  <xr:revisionPtr revIDLastSave="0" documentId="13_ncr:1_{3130B30F-8028-49FB-838A-016643F0C71A}" xr6:coauthVersionLast="47" xr6:coauthVersionMax="47" xr10:uidLastSave="{00000000-0000-0000-0000-000000000000}"/>
  <bookViews>
    <workbookView xWindow="-4155" yWindow="-1980" windowWidth="29040" windowHeight="15720" activeTab="4" xr2:uid="{D0AC9748-6F2C-423A-A23B-DD5FECFB5F75}"/>
  </bookViews>
  <sheets>
    <sheet name="HELP With Labels" sheetId="9" r:id="rId1"/>
    <sheet name="SUMEXPEN" sheetId="1" r:id="rId2"/>
    <sheet name="CO99a" sheetId="2" r:id="rId3"/>
    <sheet name="1 Pg Summary" sheetId="3" r:id="rId4"/>
    <sheet name="BAG" sheetId="8" r:id="rId5"/>
    <sheet name="Keep2" sheetId="5" state="hidden" r:id="rId6"/>
    <sheet name="Extra" sheetId="6" state="hidden" r:id="rId7"/>
    <sheet name="Extra2" sheetId="7" state="hidden" r:id="rId8"/>
  </sheets>
  <externalReferences>
    <externalReference r:id="rId9"/>
  </externalReferences>
  <definedNames>
    <definedName name="_xlnm.Print_Area" localSheetId="3">'1 Pg Summary'!$A$1:$O$62</definedName>
    <definedName name="_xlnm.Print_Area" localSheetId="4">BAG!$A$2:$J$744</definedName>
    <definedName name="_xlnm.Print_Area" localSheetId="2">CO99a!$B$1:$J$60</definedName>
    <definedName name="_xlnm.Print_Area" localSheetId="7">Extra2!$A$1</definedName>
    <definedName name="_xlnm.Print_Area" localSheetId="5">Keep2!$A$1</definedName>
    <definedName name="_xlnm.Print_Area" localSheetId="1">SUMEXPEN!$B$1:$L$1492</definedName>
    <definedName name="_xlnm.Print_Titles" localSheetId="4">BAG!$90:$90</definedName>
    <definedName name="_xlnm.Print_Titles" localSheetId="1">SUMEXPEN!$1:$1</definedName>
    <definedName name="Z_C7C7AC58_22C5_451E_8108_D7214AD66698_.wvu.Cols" localSheetId="1" hidden="1">SUMEXPEN!$A:$A,SUMEXPEN!$C:$C</definedName>
    <definedName name="Z_C7C7AC58_22C5_451E_8108_D7214AD66698_.wvu.PrintArea" localSheetId="3" hidden="1">'1 Pg Summary'!$A$1:$O$62</definedName>
    <definedName name="Z_C7C7AC58_22C5_451E_8108_D7214AD66698_.wvu.PrintArea" localSheetId="2" hidden="1">CO99a!$B$1:$J$60</definedName>
    <definedName name="Z_C7C7AC58_22C5_451E_8108_D7214AD66698_.wvu.PrintArea" localSheetId="7" hidden="1">Extra2!$A$1</definedName>
    <definedName name="Z_C7C7AC58_22C5_451E_8108_D7214AD66698_.wvu.PrintArea" localSheetId="5" hidden="1">Keep2!$A$1</definedName>
    <definedName name="Z_C7C7AC58_22C5_451E_8108_D7214AD66698_.wvu.PrintArea" localSheetId="1" hidden="1">SUMEXPEN!$B$1:$L$1492</definedName>
    <definedName name="Z_C7C7AC58_22C5_451E_8108_D7214AD66698_.wvu.PrintTitles" localSheetId="1" hidden="1">SUMEXPEN!$1:$1</definedName>
    <definedName name="Z_C7C7AC58_22C5_451E_8108_D7214AD66698_.wvu.Rows" localSheetId="1" hidden="1">SUMEXPEN!$513:$513,SUMEXPEN!$1020:$1020,SUMEXPEN!$1232:$1232</definedName>
  </definedNames>
  <calcPr calcId="191029" fullPrecision="0"/>
  <customWorkbookViews>
    <customWorkbookView name="Christie Wyckoff - Personal View" guid="{C7C7AC58-22C5-451E-8108-D7214AD66698}" mergeInterval="0" personalView="1" maximized="1" xWindow="1912" yWindow="-8" windowWidth="1936" windowHeight="1056"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K8" i="2" l="1"/>
  <c r="J1156" i="1" l="1"/>
  <c r="AG35" i="2" l="1"/>
  <c r="AG34" i="2"/>
  <c r="Z35" i="2"/>
  <c r="Z34" i="2"/>
  <c r="AH35" i="2"/>
  <c r="AH34" i="2"/>
  <c r="AA35" i="2"/>
  <c r="AA34" i="2"/>
  <c r="J1045" i="1" l="1"/>
  <c r="F1045" i="1"/>
  <c r="D1045" i="1"/>
  <c r="J980" i="1"/>
  <c r="F980" i="1"/>
  <c r="D980" i="1"/>
  <c r="J916" i="1"/>
  <c r="F916" i="1"/>
  <c r="D916" i="1"/>
  <c r="J852" i="1"/>
  <c r="F852" i="1"/>
  <c r="D852" i="1"/>
  <c r="J788" i="1"/>
  <c r="F788" i="1"/>
  <c r="D788" i="1"/>
  <c r="J724" i="1"/>
  <c r="F724" i="1"/>
  <c r="D724" i="1"/>
  <c r="J660" i="1"/>
  <c r="F660" i="1"/>
  <c r="D660" i="1"/>
  <c r="J596" i="1"/>
  <c r="F596" i="1"/>
  <c r="D596" i="1"/>
  <c r="J532" i="1"/>
  <c r="F532" i="1"/>
  <c r="D532" i="1"/>
  <c r="J467" i="1"/>
  <c r="F467" i="1"/>
  <c r="D467" i="1"/>
  <c r="J403" i="1"/>
  <c r="F403" i="1"/>
  <c r="J339" i="1"/>
  <c r="F339" i="1"/>
  <c r="D339" i="1"/>
  <c r="J1119" i="1" l="1"/>
  <c r="F1119" i="1"/>
  <c r="D1119" i="1"/>
  <c r="F1118" i="1"/>
  <c r="D1118" i="1"/>
  <c r="A676" i="8" l="1"/>
  <c r="A675" i="8"/>
  <c r="A674" i="8"/>
  <c r="A673" i="8"/>
  <c r="A672" i="8"/>
  <c r="B672" i="8"/>
  <c r="B671" i="8"/>
  <c r="A671" i="8"/>
  <c r="A670" i="8"/>
  <c r="B670" i="8"/>
  <c r="B669" i="8"/>
  <c r="A669" i="8"/>
  <c r="A668" i="8"/>
  <c r="B668" i="8"/>
  <c r="B666" i="8"/>
  <c r="B667" i="8"/>
  <c r="A666" i="8"/>
  <c r="K1380" i="1" l="1"/>
  <c r="K1376" i="1"/>
  <c r="G1383" i="1"/>
  <c r="D1383" i="1"/>
  <c r="G1380" i="1"/>
  <c r="D1380" i="1"/>
  <c r="D1284" i="1"/>
  <c r="D1241" i="1"/>
  <c r="D1240" i="1"/>
  <c r="F1177" i="1"/>
  <c r="D1177" i="1"/>
  <c r="D1235" i="1"/>
  <c r="J1172" i="1"/>
  <c r="F1172" i="1"/>
  <c r="D1172" i="1"/>
  <c r="D1228" i="1"/>
  <c r="J1165" i="1"/>
  <c r="F1165" i="1"/>
  <c r="D1165" i="1"/>
  <c r="D1250" i="1"/>
  <c r="J1122" i="1"/>
  <c r="F1122" i="1"/>
  <c r="D1122" i="1"/>
  <c r="D1248" i="1"/>
  <c r="J1120" i="1"/>
  <c r="F1120" i="1"/>
  <c r="D1120" i="1"/>
  <c r="D1249" i="1"/>
  <c r="J1057" i="1"/>
  <c r="F1057" i="1"/>
  <c r="D1057" i="1"/>
  <c r="D1230" i="1"/>
  <c r="J909" i="1"/>
  <c r="F909" i="1"/>
  <c r="D909" i="1"/>
  <c r="J717" i="1"/>
  <c r="F717" i="1"/>
  <c r="D717" i="1"/>
  <c r="D1238" i="1"/>
  <c r="J1175" i="1"/>
  <c r="F1175" i="1"/>
  <c r="D1175" i="1"/>
  <c r="J533" i="1"/>
  <c r="F533" i="1"/>
  <c r="D533" i="1"/>
  <c r="D1231" i="1"/>
  <c r="J846" i="1"/>
  <c r="F846" i="1"/>
  <c r="D846" i="1"/>
  <c r="J654" i="1"/>
  <c r="F654" i="1"/>
  <c r="D654" i="1"/>
  <c r="J461" i="1"/>
  <c r="F461" i="1"/>
  <c r="D461" i="1"/>
  <c r="D1232" i="1"/>
  <c r="J847" i="1"/>
  <c r="F847" i="1"/>
  <c r="D847" i="1"/>
  <c r="J655" i="1"/>
  <c r="F655" i="1"/>
  <c r="D655" i="1"/>
  <c r="J462" i="1"/>
  <c r="F462" i="1"/>
  <c r="D462" i="1"/>
  <c r="J398" i="1"/>
  <c r="F398" i="1"/>
  <c r="D398" i="1"/>
  <c r="D1256" i="1"/>
  <c r="J871" i="1"/>
  <c r="F871" i="1"/>
  <c r="D871" i="1"/>
  <c r="J807" i="1"/>
  <c r="F807" i="1"/>
  <c r="D807" i="1"/>
  <c r="J743" i="1"/>
  <c r="F743" i="1"/>
  <c r="D743" i="1"/>
  <c r="J679" i="1"/>
  <c r="F679" i="1"/>
  <c r="D679" i="1"/>
  <c r="J615" i="1"/>
  <c r="F615" i="1"/>
  <c r="D615" i="1"/>
  <c r="J551" i="1"/>
  <c r="F551" i="1"/>
  <c r="D551" i="1"/>
  <c r="J486" i="1"/>
  <c r="F486" i="1"/>
  <c r="D486" i="1"/>
  <c r="J422" i="1"/>
  <c r="F422" i="1"/>
  <c r="D422" i="1"/>
  <c r="J358" i="1"/>
  <c r="F358" i="1"/>
  <c r="D358" i="1"/>
  <c r="D1255" i="1"/>
  <c r="J742" i="1"/>
  <c r="F742" i="1"/>
  <c r="D742" i="1"/>
  <c r="J614" i="1"/>
  <c r="F614" i="1"/>
  <c r="D614" i="1"/>
  <c r="J485" i="1"/>
  <c r="F485" i="1"/>
  <c r="D485" i="1"/>
  <c r="J421" i="1"/>
  <c r="F421" i="1"/>
  <c r="D421" i="1"/>
  <c r="J357" i="1"/>
  <c r="F357" i="1"/>
  <c r="D357" i="1"/>
  <c r="D1254" i="1"/>
  <c r="J741" i="1"/>
  <c r="F741" i="1"/>
  <c r="D741" i="1"/>
  <c r="J549" i="1"/>
  <c r="F549" i="1"/>
  <c r="D549" i="1"/>
  <c r="J484" i="1"/>
  <c r="F484" i="1"/>
  <c r="D484" i="1"/>
  <c r="J420" i="1"/>
  <c r="F420" i="1"/>
  <c r="D420" i="1"/>
  <c r="J356" i="1"/>
  <c r="F356" i="1"/>
  <c r="D356" i="1"/>
  <c r="D1245" i="1"/>
  <c r="F796" i="1"/>
  <c r="D796" i="1"/>
  <c r="F347" i="1"/>
  <c r="D347" i="1"/>
  <c r="D1244" i="1"/>
  <c r="F474" i="1"/>
  <c r="D474" i="1"/>
  <c r="F346" i="1"/>
  <c r="D346" i="1"/>
  <c r="D1243" i="1"/>
  <c r="J1180" i="1"/>
  <c r="F1180" i="1"/>
  <c r="D1180" i="1"/>
  <c r="F986" i="1"/>
  <c r="D986" i="1"/>
  <c r="F858" i="1"/>
  <c r="D858" i="1"/>
  <c r="F794" i="1"/>
  <c r="D794" i="1"/>
  <c r="F730" i="1"/>
  <c r="D730" i="1"/>
  <c r="F666" i="1"/>
  <c r="D666" i="1"/>
  <c r="F602" i="1"/>
  <c r="D602" i="1"/>
  <c r="F538" i="1"/>
  <c r="D538" i="1"/>
  <c r="F473" i="1"/>
  <c r="D473" i="1"/>
  <c r="F409" i="1"/>
  <c r="D409" i="1"/>
  <c r="F345" i="1"/>
  <c r="D345" i="1"/>
  <c r="J921" i="1"/>
  <c r="F921" i="1"/>
  <c r="D921" i="1"/>
  <c r="J857" i="1"/>
  <c r="F857" i="1"/>
  <c r="D857" i="1"/>
  <c r="J793" i="1"/>
  <c r="F793" i="1"/>
  <c r="D793" i="1"/>
  <c r="J729" i="1"/>
  <c r="F729" i="1"/>
  <c r="D729" i="1"/>
  <c r="J665" i="1"/>
  <c r="F665" i="1"/>
  <c r="D665" i="1"/>
  <c r="J601" i="1"/>
  <c r="F601" i="1"/>
  <c r="D601" i="1"/>
  <c r="J537" i="1"/>
  <c r="F537" i="1"/>
  <c r="D537" i="1"/>
  <c r="J472" i="1"/>
  <c r="F472" i="1"/>
  <c r="D472" i="1"/>
  <c r="J408" i="1"/>
  <c r="F408" i="1"/>
  <c r="D408" i="1"/>
  <c r="J344" i="1"/>
  <c r="D344" i="1"/>
  <c r="D1239" i="1"/>
  <c r="J341" i="1"/>
  <c r="F341" i="1"/>
  <c r="D341" i="1"/>
  <c r="D1237" i="1"/>
  <c r="D1236" i="1"/>
  <c r="J851" i="1"/>
  <c r="F851" i="1"/>
  <c r="D851" i="1"/>
  <c r="J787" i="1"/>
  <c r="F787" i="1"/>
  <c r="D787" i="1"/>
  <c r="J723" i="1"/>
  <c r="F723" i="1"/>
  <c r="D723" i="1"/>
  <c r="J659" i="1"/>
  <c r="F659" i="1"/>
  <c r="D659" i="1"/>
  <c r="J595" i="1"/>
  <c r="F595" i="1"/>
  <c r="D595" i="1"/>
  <c r="F466" i="1"/>
  <c r="D466" i="1"/>
  <c r="J402" i="1"/>
  <c r="F402" i="1"/>
  <c r="D402" i="1"/>
  <c r="J338" i="1"/>
  <c r="F338" i="1"/>
  <c r="D338" i="1"/>
  <c r="D1234" i="1"/>
  <c r="J849" i="1"/>
  <c r="F849" i="1"/>
  <c r="D849" i="1"/>
  <c r="D785" i="1"/>
  <c r="J721" i="1"/>
  <c r="F721" i="1"/>
  <c r="D721" i="1"/>
  <c r="J657" i="1"/>
  <c r="F657" i="1"/>
  <c r="D657" i="1"/>
  <c r="J593" i="1"/>
  <c r="F593" i="1"/>
  <c r="D593" i="1"/>
  <c r="J529" i="1"/>
  <c r="F529" i="1"/>
  <c r="D529" i="1"/>
  <c r="J464" i="1"/>
  <c r="F464" i="1"/>
  <c r="D464" i="1"/>
  <c r="J400" i="1"/>
  <c r="F400" i="1"/>
  <c r="D400" i="1"/>
  <c r="J336" i="1"/>
  <c r="F336" i="1"/>
  <c r="D336" i="1"/>
  <c r="D1233" i="1"/>
  <c r="J976" i="1"/>
  <c r="F976" i="1"/>
  <c r="D976" i="1"/>
  <c r="J848" i="1"/>
  <c r="F848" i="1"/>
  <c r="D848" i="1"/>
  <c r="J720" i="1"/>
  <c r="F720" i="1"/>
  <c r="D720" i="1"/>
  <c r="J656" i="1"/>
  <c r="F656" i="1"/>
  <c r="D656" i="1"/>
  <c r="J592" i="1"/>
  <c r="F592" i="1"/>
  <c r="D592" i="1"/>
  <c r="J463" i="1"/>
  <c r="F463" i="1"/>
  <c r="D463" i="1"/>
  <c r="J399" i="1"/>
  <c r="F399" i="1"/>
  <c r="D399" i="1"/>
  <c r="J335" i="1"/>
  <c r="F335" i="1"/>
  <c r="D335" i="1"/>
  <c r="D1229" i="1"/>
  <c r="J844" i="1"/>
  <c r="F844" i="1"/>
  <c r="D844" i="1"/>
  <c r="J716" i="1"/>
  <c r="F716" i="1"/>
  <c r="D716" i="1"/>
  <c r="J652" i="1"/>
  <c r="F652" i="1"/>
  <c r="D652" i="1"/>
  <c r="J588" i="1"/>
  <c r="F588" i="1"/>
  <c r="D588" i="1"/>
  <c r="J459" i="1"/>
  <c r="F459" i="1"/>
  <c r="D459" i="1"/>
  <c r="J395" i="1"/>
  <c r="F395" i="1"/>
  <c r="D395" i="1"/>
  <c r="J331" i="1"/>
  <c r="F331" i="1"/>
  <c r="D331" i="1"/>
  <c r="D1227" i="1"/>
  <c r="J842" i="1"/>
  <c r="F842" i="1"/>
  <c r="D842" i="1"/>
  <c r="J714" i="1"/>
  <c r="F714" i="1"/>
  <c r="D714" i="1"/>
  <c r="J650" i="1"/>
  <c r="F650" i="1"/>
  <c r="D650" i="1"/>
  <c r="J586" i="1"/>
  <c r="F586" i="1"/>
  <c r="D586" i="1"/>
  <c r="J457" i="1"/>
  <c r="F457" i="1"/>
  <c r="D457" i="1"/>
  <c r="J393" i="1"/>
  <c r="F393" i="1"/>
  <c r="D393" i="1"/>
  <c r="J329" i="1"/>
  <c r="F329" i="1"/>
  <c r="D329" i="1"/>
  <c r="D1225" i="1"/>
  <c r="J840" i="1"/>
  <c r="F840" i="1"/>
  <c r="D840" i="1"/>
  <c r="J712" i="1"/>
  <c r="F712" i="1"/>
  <c r="D712" i="1"/>
  <c r="J648" i="1"/>
  <c r="F648" i="1"/>
  <c r="D648" i="1"/>
  <c r="J584" i="1"/>
  <c r="F584" i="1"/>
  <c r="D584" i="1"/>
  <c r="J455" i="1"/>
  <c r="F455" i="1"/>
  <c r="D455" i="1"/>
  <c r="J391" i="1"/>
  <c r="F391" i="1"/>
  <c r="D391" i="1"/>
  <c r="J327" i="1"/>
  <c r="F327" i="1"/>
  <c r="D327" i="1"/>
  <c r="D1224" i="1"/>
  <c r="J839" i="1"/>
  <c r="F839" i="1"/>
  <c r="D839" i="1"/>
  <c r="J775" i="1"/>
  <c r="F775" i="1"/>
  <c r="D775" i="1"/>
  <c r="J711" i="1"/>
  <c r="F711" i="1"/>
  <c r="D711" i="1"/>
  <c r="J647" i="1"/>
  <c r="F647" i="1"/>
  <c r="D647" i="1"/>
  <c r="J583" i="1"/>
  <c r="F583" i="1"/>
  <c r="D583" i="1"/>
  <c r="J454" i="1"/>
  <c r="F454" i="1"/>
  <c r="D454" i="1"/>
  <c r="J390" i="1"/>
  <c r="F390" i="1"/>
  <c r="D390" i="1"/>
  <c r="J326" i="1"/>
  <c r="F326" i="1"/>
  <c r="D326" i="1"/>
  <c r="D1223" i="1"/>
  <c r="J838" i="1"/>
  <c r="F838" i="1"/>
  <c r="D838" i="1"/>
  <c r="J774" i="1"/>
  <c r="F774" i="1"/>
  <c r="D774" i="1"/>
  <c r="J710" i="1"/>
  <c r="F710" i="1"/>
  <c r="D710" i="1"/>
  <c r="J646" i="1"/>
  <c r="F646" i="1"/>
  <c r="D646" i="1"/>
  <c r="J582" i="1"/>
  <c r="F582" i="1"/>
  <c r="D582" i="1"/>
  <c r="J453" i="1"/>
  <c r="F453" i="1"/>
  <c r="D453" i="1"/>
  <c r="J389" i="1"/>
  <c r="D389" i="1"/>
  <c r="J325" i="1"/>
  <c r="D325" i="1"/>
  <c r="D1222" i="1"/>
  <c r="J837" i="1"/>
  <c r="F837" i="1"/>
  <c r="D837" i="1"/>
  <c r="J773" i="1"/>
  <c r="F773" i="1"/>
  <c r="D773" i="1"/>
  <c r="J709" i="1"/>
  <c r="F709" i="1"/>
  <c r="D709" i="1"/>
  <c r="J645" i="1"/>
  <c r="F645" i="1"/>
  <c r="D645" i="1"/>
  <c r="J581" i="1"/>
  <c r="F581" i="1"/>
  <c r="D581" i="1"/>
  <c r="J452" i="1"/>
  <c r="F452" i="1"/>
  <c r="D452" i="1"/>
  <c r="J388" i="1"/>
  <c r="F388" i="1"/>
  <c r="D388" i="1"/>
  <c r="J324" i="1"/>
  <c r="F324" i="1"/>
  <c r="D324" i="1"/>
  <c r="D1221" i="1"/>
  <c r="F1158" i="1"/>
  <c r="D1158" i="1"/>
  <c r="J1029" i="1"/>
  <c r="F1029" i="1"/>
  <c r="D1029" i="1"/>
  <c r="J964" i="1"/>
  <c r="F964" i="1"/>
  <c r="D964" i="1"/>
  <c r="J836" i="1"/>
  <c r="F836" i="1"/>
  <c r="D836" i="1"/>
  <c r="J772" i="1"/>
  <c r="F772" i="1"/>
  <c r="D772" i="1"/>
  <c r="J708" i="1"/>
  <c r="F708" i="1"/>
  <c r="D708" i="1"/>
  <c r="J644" i="1"/>
  <c r="F644" i="1"/>
  <c r="D644" i="1"/>
  <c r="J580" i="1"/>
  <c r="F580" i="1"/>
  <c r="D580" i="1"/>
  <c r="J516" i="1"/>
  <c r="D516" i="1"/>
  <c r="J451" i="1"/>
  <c r="D451" i="1"/>
  <c r="J387" i="1"/>
  <c r="F387" i="1"/>
  <c r="D387" i="1"/>
  <c r="F323" i="1"/>
  <c r="D323" i="1"/>
  <c r="D1220" i="1"/>
  <c r="J1028" i="1"/>
  <c r="F1028" i="1"/>
  <c r="D1028" i="1"/>
  <c r="J963" i="1"/>
  <c r="F963" i="1"/>
  <c r="D963" i="1"/>
  <c r="J899" i="1"/>
  <c r="D899" i="1"/>
  <c r="J835" i="1"/>
  <c r="F835" i="1"/>
  <c r="D835" i="1"/>
  <c r="D771" i="1"/>
  <c r="D643" i="1"/>
  <c r="D579" i="1"/>
  <c r="D515" i="1"/>
  <c r="D450" i="1"/>
  <c r="D322" i="1"/>
  <c r="D1219" i="1"/>
  <c r="F1156" i="1"/>
  <c r="D1156" i="1"/>
  <c r="J1027" i="1"/>
  <c r="F1027" i="1"/>
  <c r="D1027" i="1"/>
  <c r="J962" i="1"/>
  <c r="F962" i="1"/>
  <c r="D962" i="1"/>
  <c r="J834" i="1"/>
  <c r="F834" i="1"/>
  <c r="D834" i="1"/>
  <c r="D770" i="1"/>
  <c r="D706" i="1"/>
  <c r="J642" i="1"/>
  <c r="F642" i="1"/>
  <c r="D642" i="1"/>
  <c r="J578" i="1"/>
  <c r="F578" i="1"/>
  <c r="D578" i="1"/>
  <c r="J514" i="1"/>
  <c r="F514" i="1"/>
  <c r="D514" i="1"/>
  <c r="D449" i="1"/>
  <c r="F385" i="1"/>
  <c r="D385" i="1"/>
  <c r="D321" i="1"/>
  <c r="D1247" i="1"/>
  <c r="D1246" i="1"/>
  <c r="D1226" i="1"/>
  <c r="J1098" i="1"/>
  <c r="F1098" i="1"/>
  <c r="D1098" i="1"/>
  <c r="J1034" i="1"/>
  <c r="F1034" i="1"/>
  <c r="D1034" i="1"/>
  <c r="J841" i="1"/>
  <c r="F841" i="1"/>
  <c r="D841" i="1"/>
  <c r="J777" i="1"/>
  <c r="F777" i="1"/>
  <c r="D777" i="1"/>
  <c r="D713" i="1"/>
  <c r="J649" i="1"/>
  <c r="F649" i="1"/>
  <c r="D649" i="1"/>
  <c r="J585" i="1"/>
  <c r="F585" i="1"/>
  <c r="D585" i="1"/>
  <c r="J521" i="1"/>
  <c r="F521" i="1"/>
  <c r="D521" i="1"/>
  <c r="J456" i="1"/>
  <c r="F456" i="1"/>
  <c r="D456" i="1"/>
  <c r="J392" i="1"/>
  <c r="F392" i="1"/>
  <c r="D392" i="1"/>
  <c r="J328" i="1"/>
  <c r="F328" i="1"/>
  <c r="D328" i="1"/>
  <c r="G1309" i="1"/>
  <c r="D1283" i="1"/>
  <c r="D1218" i="1"/>
  <c r="D4" i="1"/>
  <c r="K1438" i="1"/>
  <c r="K1314" i="1"/>
  <c r="K1313" i="1"/>
  <c r="L1" i="1"/>
  <c r="I1314" i="1" s="1"/>
  <c r="H1" i="1"/>
  <c r="G1314" i="1" l="1"/>
  <c r="I1313" i="1"/>
  <c r="E1314" i="1"/>
  <c r="G1313" i="1"/>
  <c r="D1314" i="1"/>
  <c r="E1313" i="1"/>
  <c r="I1311" i="1"/>
  <c r="D1313" i="1"/>
  <c r="E1311" i="1"/>
  <c r="G1311" i="1"/>
  <c r="D1311" i="1"/>
  <c r="H107" i="8"/>
  <c r="H109" i="8"/>
  <c r="E107" i="8"/>
  <c r="E109" i="8"/>
  <c r="C107" i="8"/>
  <c r="C109" i="8"/>
  <c r="AH27" i="2" l="1"/>
  <c r="AA27" i="2"/>
  <c r="F27" i="2"/>
  <c r="K108" i="6" l="1"/>
  <c r="J108" i="6"/>
  <c r="I108" i="6"/>
  <c r="H108" i="6"/>
  <c r="G108" i="6"/>
  <c r="F108" i="6"/>
  <c r="E108" i="6"/>
  <c r="D108" i="6"/>
  <c r="C108" i="6"/>
  <c r="B108" i="6"/>
  <c r="I107" i="6"/>
  <c r="G107" i="6"/>
  <c r="F107" i="6"/>
  <c r="D107" i="6"/>
  <c r="C107" i="6"/>
  <c r="B107" i="6"/>
  <c r="J106" i="6"/>
  <c r="I106" i="6"/>
  <c r="G106" i="6"/>
  <c r="F106" i="6"/>
  <c r="D106" i="6"/>
  <c r="C106" i="6"/>
  <c r="B106" i="6"/>
  <c r="J105" i="6"/>
  <c r="I105" i="6"/>
  <c r="G105" i="6"/>
  <c r="F105" i="6"/>
  <c r="D105" i="6"/>
  <c r="C105" i="6"/>
  <c r="B105" i="6"/>
  <c r="I104" i="6"/>
  <c r="G104" i="6"/>
  <c r="F104" i="6"/>
  <c r="D104" i="6"/>
  <c r="C104" i="6"/>
  <c r="B104" i="6"/>
  <c r="K103" i="6"/>
  <c r="J103" i="6"/>
  <c r="I103" i="6"/>
  <c r="H103" i="6"/>
  <c r="G103" i="6"/>
  <c r="F103" i="6"/>
  <c r="E103" i="6"/>
  <c r="D103" i="6"/>
  <c r="C103" i="6"/>
  <c r="A665" i="8"/>
  <c r="J663" i="8"/>
  <c r="I663" i="8"/>
  <c r="H663" i="8"/>
  <c r="G663" i="8"/>
  <c r="F663" i="8"/>
  <c r="E663" i="8"/>
  <c r="D663" i="8"/>
  <c r="C663" i="8"/>
  <c r="B663" i="8"/>
  <c r="A663" i="8"/>
  <c r="H662" i="8"/>
  <c r="F662" i="8"/>
  <c r="E662" i="8"/>
  <c r="C662" i="8"/>
  <c r="B662" i="8"/>
  <c r="A662" i="8"/>
  <c r="I661" i="8"/>
  <c r="H661" i="8"/>
  <c r="F661" i="8"/>
  <c r="E661" i="8"/>
  <c r="C661" i="8"/>
  <c r="B661" i="8"/>
  <c r="A661" i="8"/>
  <c r="I660" i="8"/>
  <c r="H660" i="8"/>
  <c r="F660" i="8"/>
  <c r="E660" i="8"/>
  <c r="C660" i="8"/>
  <c r="B660" i="8"/>
  <c r="A660" i="8"/>
  <c r="H659" i="8"/>
  <c r="F659" i="8"/>
  <c r="E659" i="8"/>
  <c r="C659" i="8"/>
  <c r="B659" i="8"/>
  <c r="A659" i="8"/>
  <c r="J658" i="8"/>
  <c r="I658" i="8"/>
  <c r="H658" i="8"/>
  <c r="G658" i="8"/>
  <c r="F658" i="8"/>
  <c r="E658" i="8"/>
  <c r="D658" i="8"/>
  <c r="C658" i="8"/>
  <c r="B658" i="8"/>
  <c r="E15" i="5"/>
  <c r="C15" i="5"/>
  <c r="H8" i="5"/>
  <c r="AK26" i="2"/>
  <c r="AI26" i="2"/>
  <c r="AD26" i="2"/>
  <c r="AB26" i="2"/>
  <c r="AK30" i="2"/>
  <c r="AK41" i="2"/>
  <c r="AK17" i="2"/>
  <c r="AK38" i="2"/>
  <c r="AI38" i="2"/>
  <c r="AB38" i="2"/>
  <c r="G38" i="2"/>
  <c r="AK36" i="2"/>
  <c r="AK37" i="2"/>
  <c r="AK19" i="2"/>
  <c r="AI19" i="2"/>
  <c r="AH19" i="2"/>
  <c r="AG19" i="2"/>
  <c r="AD19" i="2"/>
  <c r="AB19" i="2"/>
  <c r="AA19" i="2"/>
  <c r="Z19" i="2"/>
  <c r="G19" i="2"/>
  <c r="AK25" i="2"/>
  <c r="AJ25" i="2"/>
  <c r="AI25" i="2"/>
  <c r="AB25" i="2"/>
  <c r="G25" i="2"/>
  <c r="AK20" i="2"/>
  <c r="AI20" i="2"/>
  <c r="AH20" i="2"/>
  <c r="AD20" i="2"/>
  <c r="AB20" i="2"/>
  <c r="AA20" i="2"/>
  <c r="I20" i="2"/>
  <c r="G20" i="2"/>
  <c r="F20" i="2"/>
  <c r="AK21" i="2"/>
  <c r="AI21" i="2"/>
  <c r="AH21" i="2"/>
  <c r="AD21" i="2"/>
  <c r="AB21" i="2"/>
  <c r="AA21" i="2"/>
  <c r="I21" i="2"/>
  <c r="G21" i="2"/>
  <c r="F21" i="2"/>
  <c r="E21" i="2"/>
  <c r="AK39" i="2"/>
  <c r="AI39" i="2"/>
  <c r="AH39" i="2"/>
  <c r="AG39" i="2"/>
  <c r="AD39" i="2"/>
  <c r="AB39" i="2"/>
  <c r="AA39" i="2"/>
  <c r="Z39" i="2"/>
  <c r="I39" i="2"/>
  <c r="G39" i="2"/>
  <c r="F39" i="2"/>
  <c r="E39" i="2"/>
  <c r="AK11" i="2"/>
  <c r="AI11" i="2"/>
  <c r="AD11" i="2"/>
  <c r="AB11" i="2"/>
  <c r="I11" i="2"/>
  <c r="G11" i="2"/>
  <c r="AK9" i="2"/>
  <c r="AI9" i="2"/>
  <c r="AH9" i="2"/>
  <c r="AG9" i="2"/>
  <c r="AB9" i="2"/>
  <c r="AA9" i="2"/>
  <c r="Z9" i="2"/>
  <c r="G9" i="2"/>
  <c r="F9" i="2"/>
  <c r="E9" i="2"/>
  <c r="AK33" i="2"/>
  <c r="AD33" i="2"/>
  <c r="AK28" i="2"/>
  <c r="AH28" i="2"/>
  <c r="AD28" i="2"/>
  <c r="AA28" i="2"/>
  <c r="AK32" i="2"/>
  <c r="AD32" i="2"/>
  <c r="AK29" i="2"/>
  <c r="AI29" i="2"/>
  <c r="AD29" i="2"/>
  <c r="AB29" i="2"/>
  <c r="G29" i="2"/>
  <c r="AK27" i="2"/>
  <c r="AG27" i="2"/>
  <c r="AD27" i="2"/>
  <c r="Z27" i="2"/>
  <c r="I27" i="2"/>
  <c r="E27" i="2"/>
  <c r="AK24" i="2"/>
  <c r="AI24" i="2"/>
  <c r="AH24" i="2"/>
  <c r="AD24" i="2"/>
  <c r="AB24" i="2"/>
  <c r="AA24" i="2"/>
  <c r="I24" i="2"/>
  <c r="G24" i="2"/>
  <c r="F24" i="2"/>
  <c r="AK23" i="2"/>
  <c r="AI23" i="2"/>
  <c r="AH23" i="2"/>
  <c r="AG23" i="2"/>
  <c r="AD23" i="2"/>
  <c r="AB23" i="2"/>
  <c r="AA23" i="2"/>
  <c r="Z23" i="2"/>
  <c r="I23" i="2"/>
  <c r="G23" i="2"/>
  <c r="F23" i="2"/>
  <c r="E23" i="2"/>
  <c r="AK22" i="2"/>
  <c r="AI22" i="2"/>
  <c r="AH22" i="2"/>
  <c r="AD22" i="2"/>
  <c r="AB22" i="2"/>
  <c r="AA22" i="2"/>
  <c r="I22" i="2"/>
  <c r="G22" i="2"/>
  <c r="F22" i="2"/>
  <c r="AK18" i="2"/>
  <c r="AI18" i="2"/>
  <c r="AH18" i="2"/>
  <c r="AD18" i="2"/>
  <c r="AB18" i="2"/>
  <c r="AA18" i="2"/>
  <c r="I18" i="2"/>
  <c r="G18" i="2"/>
  <c r="F18" i="2"/>
  <c r="AK16" i="2"/>
  <c r="AI16" i="2"/>
  <c r="AH16" i="2"/>
  <c r="AG16" i="2"/>
  <c r="AD16" i="2"/>
  <c r="AB16" i="2"/>
  <c r="AA16" i="2"/>
  <c r="Z16" i="2"/>
  <c r="I16" i="2"/>
  <c r="G16" i="2"/>
  <c r="F16" i="2"/>
  <c r="AK14" i="2"/>
  <c r="AI14" i="2"/>
  <c r="AD14" i="2"/>
  <c r="AB14" i="2"/>
  <c r="I14" i="2"/>
  <c r="G14" i="2"/>
  <c r="AK13" i="2"/>
  <c r="AI13" i="2"/>
  <c r="AH13" i="2"/>
  <c r="AD13" i="2"/>
  <c r="AB13" i="2"/>
  <c r="AA13" i="2"/>
  <c r="I13" i="2"/>
  <c r="G13" i="2"/>
  <c r="F13" i="2"/>
  <c r="AK12" i="2"/>
  <c r="AI12" i="2"/>
  <c r="AH12" i="2"/>
  <c r="AD12" i="2"/>
  <c r="AB12" i="2"/>
  <c r="AA12" i="2"/>
  <c r="I12" i="2"/>
  <c r="G12" i="2"/>
  <c r="F12" i="2"/>
  <c r="AK10" i="2"/>
  <c r="AI10" i="2"/>
  <c r="AH10" i="2"/>
  <c r="AD10" i="2"/>
  <c r="AB10" i="2"/>
  <c r="AA10" i="2"/>
  <c r="I10" i="2"/>
  <c r="G10" i="2"/>
  <c r="F10" i="2"/>
  <c r="AH40" i="2"/>
  <c r="AK7" i="2"/>
  <c r="AH7" i="2"/>
  <c r="AD7" i="2"/>
  <c r="AA7" i="2"/>
  <c r="I7" i="2"/>
  <c r="F7" i="2"/>
  <c r="AK35" i="2"/>
  <c r="AI35" i="2"/>
  <c r="AB35" i="2"/>
  <c r="G35" i="2"/>
  <c r="AK34" i="2"/>
  <c r="AI34" i="2"/>
  <c r="AB34" i="2"/>
  <c r="G34" i="2"/>
  <c r="AK15" i="2"/>
  <c r="AI15" i="2"/>
  <c r="AH15" i="2"/>
  <c r="AB15" i="2"/>
  <c r="AA15" i="2"/>
  <c r="G15" i="2"/>
  <c r="F15" i="2"/>
  <c r="AG4" i="2"/>
  <c r="F47" i="7"/>
  <c r="F4" i="7"/>
  <c r="H1" i="5"/>
  <c r="J1" i="2"/>
  <c r="A90" i="8" l="1"/>
  <c r="K680" i="8" l="1"/>
  <c r="K681" i="8"/>
  <c r="K682" i="8"/>
  <c r="K683" i="8"/>
  <c r="B593" i="8" l="1"/>
  <c r="E593" i="8"/>
  <c r="F593" i="8"/>
  <c r="I593" i="8"/>
  <c r="A594" i="8"/>
  <c r="F594" i="8"/>
  <c r="A595" i="8"/>
  <c r="F595" i="8"/>
  <c r="F592" i="8"/>
  <c r="A590" i="8"/>
  <c r="B528" i="8"/>
  <c r="E528" i="8"/>
  <c r="F528" i="8"/>
  <c r="I528" i="8"/>
  <c r="A529" i="8"/>
  <c r="F529" i="8"/>
  <c r="A530" i="8"/>
  <c r="F530" i="8"/>
  <c r="A531" i="8"/>
  <c r="F531" i="8"/>
  <c r="A532" i="8"/>
  <c r="F532" i="8"/>
  <c r="A533" i="8"/>
  <c r="F533" i="8"/>
  <c r="A534" i="8"/>
  <c r="F534" i="8"/>
  <c r="A535" i="8"/>
  <c r="F535" i="8"/>
  <c r="A536" i="8"/>
  <c r="F536" i="8"/>
  <c r="A537" i="8"/>
  <c r="F537" i="8"/>
  <c r="F538" i="8"/>
  <c r="F539" i="8"/>
  <c r="A540" i="8"/>
  <c r="F540" i="8"/>
  <c r="A541" i="8"/>
  <c r="F541" i="8"/>
  <c r="A542" i="8"/>
  <c r="F542" i="8"/>
  <c r="A543" i="8"/>
  <c r="F543" i="8"/>
  <c r="A544" i="8"/>
  <c r="F544" i="8"/>
  <c r="A545" i="8"/>
  <c r="F545" i="8"/>
  <c r="A546" i="8"/>
  <c r="F546" i="8"/>
  <c r="F547" i="8"/>
  <c r="F548" i="8"/>
  <c r="A549" i="8"/>
  <c r="F549" i="8"/>
  <c r="F527" i="8"/>
  <c r="A525" i="8"/>
  <c r="A468" i="8"/>
  <c r="A464" i="8"/>
  <c r="B95" i="6"/>
  <c r="I403" i="8"/>
  <c r="I421" i="8"/>
  <c r="I423" i="8"/>
  <c r="I425" i="8"/>
  <c r="I426" i="8"/>
  <c r="I427" i="8"/>
  <c r="I428" i="8"/>
  <c r="I436" i="8"/>
  <c r="I402" i="8"/>
  <c r="E403" i="8"/>
  <c r="F403" i="8"/>
  <c r="D405" i="8"/>
  <c r="D406" i="8"/>
  <c r="E406" i="8"/>
  <c r="D407" i="8"/>
  <c r="D408" i="8"/>
  <c r="D409" i="8"/>
  <c r="E409" i="8"/>
  <c r="D412" i="8"/>
  <c r="E412" i="8"/>
  <c r="F412" i="8"/>
  <c r="H412" i="8"/>
  <c r="D413" i="8"/>
  <c r="D417" i="8"/>
  <c r="D420" i="8"/>
  <c r="E420" i="8"/>
  <c r="B421" i="8"/>
  <c r="D421" i="8"/>
  <c r="E421" i="8"/>
  <c r="F421" i="8"/>
  <c r="G421" i="8"/>
  <c r="H421" i="8"/>
  <c r="F422" i="8"/>
  <c r="G422" i="8"/>
  <c r="B423" i="8"/>
  <c r="D423" i="8"/>
  <c r="E423" i="8"/>
  <c r="F423" i="8"/>
  <c r="G423" i="8"/>
  <c r="H423" i="8"/>
  <c r="D424" i="8"/>
  <c r="E424" i="8"/>
  <c r="G424" i="8"/>
  <c r="D425" i="8"/>
  <c r="E425" i="8"/>
  <c r="F425" i="8"/>
  <c r="C426" i="8"/>
  <c r="E426" i="8"/>
  <c r="F426" i="8"/>
  <c r="G426" i="8"/>
  <c r="H426" i="8"/>
  <c r="B427" i="8"/>
  <c r="D427" i="8"/>
  <c r="E427" i="8"/>
  <c r="F427" i="8"/>
  <c r="G427" i="8"/>
  <c r="H427" i="8"/>
  <c r="B428" i="8"/>
  <c r="D428" i="8"/>
  <c r="E428" i="8"/>
  <c r="F428" i="8"/>
  <c r="G428" i="8"/>
  <c r="H428" i="8"/>
  <c r="G429" i="8"/>
  <c r="G430" i="8"/>
  <c r="D431" i="8"/>
  <c r="E431" i="8"/>
  <c r="F431" i="8"/>
  <c r="G431" i="8"/>
  <c r="D432" i="8"/>
  <c r="E432" i="8"/>
  <c r="F432" i="8"/>
  <c r="G432" i="8"/>
  <c r="D433" i="8"/>
  <c r="E433" i="8"/>
  <c r="G433" i="8"/>
  <c r="G434" i="8"/>
  <c r="D435" i="8"/>
  <c r="F435" i="8"/>
  <c r="G435" i="8"/>
  <c r="H435" i="8"/>
  <c r="D436" i="8"/>
  <c r="E436" i="8"/>
  <c r="F436" i="8"/>
  <c r="F402" i="8"/>
  <c r="G402" i="8"/>
  <c r="B446" i="8"/>
  <c r="C446" i="8"/>
  <c r="B447" i="8"/>
  <c r="C447" i="8"/>
  <c r="B448" i="8"/>
  <c r="C448" i="8"/>
  <c r="B449" i="8"/>
  <c r="C449" i="8"/>
  <c r="B450" i="8"/>
  <c r="C450" i="8"/>
  <c r="B452" i="8"/>
  <c r="C452" i="8"/>
  <c r="D452" i="8"/>
  <c r="E452" i="8"/>
  <c r="F452" i="8"/>
  <c r="A454" i="8"/>
  <c r="A443" i="8"/>
  <c r="B400" i="8" l="1"/>
  <c r="D400" i="8"/>
  <c r="E400" i="8"/>
  <c r="F400" i="8"/>
  <c r="B401" i="8"/>
  <c r="C401" i="8"/>
  <c r="D401" i="8"/>
  <c r="E401" i="8"/>
  <c r="F401" i="8"/>
  <c r="G401" i="8"/>
  <c r="H401" i="8"/>
  <c r="I401" i="8"/>
  <c r="A402" i="8"/>
  <c r="A403" i="8"/>
  <c r="A404" i="8"/>
  <c r="A405" i="8"/>
  <c r="A406" i="8"/>
  <c r="A407" i="8"/>
  <c r="A408" i="8"/>
  <c r="A409" i="8"/>
  <c r="A410" i="8"/>
  <c r="A411" i="8"/>
  <c r="A412" i="8"/>
  <c r="A413" i="8"/>
  <c r="A414" i="8"/>
  <c r="A415" i="8"/>
  <c r="A416" i="8"/>
  <c r="A417" i="8"/>
  <c r="A418" i="8"/>
  <c r="A419" i="8"/>
  <c r="A420" i="8"/>
  <c r="A421" i="8"/>
  <c r="A422" i="8"/>
  <c r="A423" i="8"/>
  <c r="A424" i="8"/>
  <c r="A425" i="8"/>
  <c r="A426" i="8"/>
  <c r="A427" i="8"/>
  <c r="A428" i="8"/>
  <c r="A431" i="8"/>
  <c r="A432" i="8"/>
  <c r="A433" i="8"/>
  <c r="A434" i="8"/>
  <c r="A435" i="8"/>
  <c r="A436" i="8"/>
  <c r="A437" i="8"/>
  <c r="A438" i="8"/>
  <c r="A439" i="8"/>
  <c r="I399" i="8"/>
  <c r="A399" i="8"/>
  <c r="A377" i="8"/>
  <c r="A378" i="8"/>
  <c r="A376" i="8"/>
  <c r="J335" i="8"/>
  <c r="J358" i="8"/>
  <c r="J360" i="8"/>
  <c r="J361" i="8"/>
  <c r="J362" i="8"/>
  <c r="J334" i="8"/>
  <c r="B335" i="8"/>
  <c r="D335" i="8"/>
  <c r="E335" i="8"/>
  <c r="F335" i="8"/>
  <c r="H335" i="8"/>
  <c r="I335" i="8"/>
  <c r="A336" i="8"/>
  <c r="E336" i="8"/>
  <c r="I336" i="8"/>
  <c r="A337" i="8"/>
  <c r="E337" i="8"/>
  <c r="I337" i="8"/>
  <c r="A338" i="8"/>
  <c r="E338" i="8"/>
  <c r="I338" i="8"/>
  <c r="A339" i="8"/>
  <c r="E339" i="8"/>
  <c r="I339" i="8"/>
  <c r="A340" i="8"/>
  <c r="E340" i="8"/>
  <c r="I340" i="8"/>
  <c r="A341" i="8"/>
  <c r="E341" i="8"/>
  <c r="I341" i="8"/>
  <c r="A342" i="8"/>
  <c r="E342" i="8"/>
  <c r="I342" i="8"/>
  <c r="A343" i="8"/>
  <c r="E343" i="8"/>
  <c r="I343" i="8"/>
  <c r="A344" i="8"/>
  <c r="E344" i="8"/>
  <c r="I344" i="8"/>
  <c r="A345" i="8"/>
  <c r="B345" i="8"/>
  <c r="D345" i="8"/>
  <c r="E345" i="8"/>
  <c r="H345" i="8"/>
  <c r="I345" i="8"/>
  <c r="A346" i="8"/>
  <c r="E346" i="8"/>
  <c r="I346" i="8"/>
  <c r="A347" i="8"/>
  <c r="B347" i="8"/>
  <c r="D347" i="8"/>
  <c r="E347" i="8"/>
  <c r="H347" i="8"/>
  <c r="I347" i="8"/>
  <c r="A348" i="8"/>
  <c r="B348" i="8"/>
  <c r="D348" i="8"/>
  <c r="E348" i="8"/>
  <c r="H348" i="8"/>
  <c r="I348" i="8"/>
  <c r="A349" i="8"/>
  <c r="B349" i="8"/>
  <c r="D349" i="8"/>
  <c r="E349" i="8"/>
  <c r="H349" i="8"/>
  <c r="I349" i="8"/>
  <c r="A350" i="8"/>
  <c r="E350" i="8"/>
  <c r="I350" i="8"/>
  <c r="A351" i="8"/>
  <c r="E351" i="8"/>
  <c r="I351" i="8"/>
  <c r="A352" i="8"/>
  <c r="B352" i="8"/>
  <c r="D352" i="8"/>
  <c r="E352" i="8"/>
  <c r="H352" i="8"/>
  <c r="I352" i="8"/>
  <c r="A353" i="8"/>
  <c r="E353" i="8"/>
  <c r="I353" i="8"/>
  <c r="A354" i="8"/>
  <c r="E354" i="8"/>
  <c r="I354" i="8"/>
  <c r="A355" i="8"/>
  <c r="B355" i="8"/>
  <c r="D355" i="8"/>
  <c r="E355" i="8"/>
  <c r="H355" i="8"/>
  <c r="I355" i="8"/>
  <c r="A356" i="8"/>
  <c r="E356" i="8"/>
  <c r="I356" i="8"/>
  <c r="A357" i="8"/>
  <c r="B357" i="8"/>
  <c r="D357" i="8"/>
  <c r="E357" i="8"/>
  <c r="H357" i="8"/>
  <c r="I357" i="8"/>
  <c r="A358" i="8"/>
  <c r="B358" i="8"/>
  <c r="D358" i="8"/>
  <c r="E358" i="8"/>
  <c r="H358" i="8"/>
  <c r="I358" i="8"/>
  <c r="A359" i="8"/>
  <c r="E359" i="8"/>
  <c r="I359" i="8"/>
  <c r="A360" i="8"/>
  <c r="E360" i="8"/>
  <c r="H360" i="8"/>
  <c r="I360" i="8"/>
  <c r="A361" i="8"/>
  <c r="E361" i="8"/>
  <c r="H361" i="8"/>
  <c r="I361" i="8"/>
  <c r="A362" i="8"/>
  <c r="E362" i="8"/>
  <c r="H362" i="8"/>
  <c r="I362" i="8"/>
  <c r="B363" i="8"/>
  <c r="D363" i="8"/>
  <c r="E363" i="8"/>
  <c r="H363" i="8"/>
  <c r="I363" i="8"/>
  <c r="B364" i="8"/>
  <c r="D364" i="8"/>
  <c r="E364" i="8"/>
  <c r="H364" i="8"/>
  <c r="I364" i="8"/>
  <c r="A365" i="8"/>
  <c r="B365" i="8"/>
  <c r="D365" i="8"/>
  <c r="E365" i="8"/>
  <c r="H365" i="8"/>
  <c r="I365" i="8"/>
  <c r="A366" i="8"/>
  <c r="B366" i="8"/>
  <c r="D366" i="8"/>
  <c r="E366" i="8"/>
  <c r="H366" i="8"/>
  <c r="I366" i="8"/>
  <c r="A367" i="8"/>
  <c r="B367" i="8"/>
  <c r="D367" i="8"/>
  <c r="E367" i="8"/>
  <c r="H367" i="8"/>
  <c r="I367" i="8"/>
  <c r="A368" i="8"/>
  <c r="E368" i="8"/>
  <c r="I368" i="8"/>
  <c r="A369" i="8"/>
  <c r="E369" i="8"/>
  <c r="I369" i="8"/>
  <c r="A370" i="8"/>
  <c r="E370" i="8"/>
  <c r="I370" i="8"/>
  <c r="A371" i="8"/>
  <c r="E371" i="8"/>
  <c r="I371" i="8"/>
  <c r="A372" i="8"/>
  <c r="E372" i="8"/>
  <c r="I372" i="8"/>
  <c r="A373" i="8"/>
  <c r="E373" i="8"/>
  <c r="I373" i="8"/>
  <c r="A374" i="8"/>
  <c r="E374" i="8"/>
  <c r="I374" i="8"/>
  <c r="E334" i="8"/>
  <c r="F334" i="8"/>
  <c r="I334" i="8"/>
  <c r="A293" i="8"/>
  <c r="I281" i="8"/>
  <c r="B281" i="8"/>
  <c r="C281" i="8"/>
  <c r="D281" i="8"/>
  <c r="E281" i="8"/>
  <c r="F281" i="8"/>
  <c r="G281" i="8"/>
  <c r="H281" i="8"/>
  <c r="C291" i="8"/>
  <c r="E291" i="8"/>
  <c r="H291" i="8"/>
  <c r="C280" i="8"/>
  <c r="E280" i="8"/>
  <c r="F280" i="8"/>
  <c r="H280" i="8"/>
  <c r="I280" i="8"/>
  <c r="H279" i="8"/>
  <c r="C279" i="8"/>
  <c r="E279" i="8"/>
  <c r="A231" i="8"/>
  <c r="A168" i="8"/>
  <c r="A115" i="8" l="1"/>
  <c r="A116" i="8"/>
  <c r="A117" i="8"/>
  <c r="A114" i="8"/>
  <c r="A109" i="8"/>
  <c r="A110" i="8"/>
  <c r="A111" i="8"/>
  <c r="A112" i="8"/>
  <c r="A97" i="8"/>
  <c r="A98" i="8"/>
  <c r="A99" i="8"/>
  <c r="A100" i="8"/>
  <c r="A101" i="8"/>
  <c r="A102" i="8"/>
  <c r="A103" i="8"/>
  <c r="A104" i="8"/>
  <c r="A105" i="8"/>
  <c r="A106" i="8"/>
  <c r="A107" i="8"/>
  <c r="A108" i="8"/>
  <c r="B95" i="8"/>
  <c r="C95" i="8"/>
  <c r="D95" i="8"/>
  <c r="E95" i="8"/>
  <c r="F95" i="8"/>
  <c r="G95" i="8"/>
  <c r="H95" i="8"/>
  <c r="I95" i="8"/>
  <c r="C94" i="8"/>
  <c r="E94" i="8"/>
  <c r="F94" i="8"/>
  <c r="H94" i="8"/>
  <c r="I94" i="8"/>
  <c r="A92" i="8"/>
  <c r="A96" i="8"/>
  <c r="I533" i="8" l="1"/>
  <c r="I529" i="8"/>
  <c r="E536" i="8"/>
  <c r="B536" i="8"/>
  <c r="E533" i="8"/>
  <c r="B533" i="8"/>
  <c r="F433" i="8"/>
  <c r="F414" i="8"/>
  <c r="F420" i="8"/>
  <c r="H415" i="8"/>
  <c r="F415" i="8"/>
  <c r="E415" i="8"/>
  <c r="H416" i="8"/>
  <c r="F416" i="8"/>
  <c r="E416" i="8"/>
  <c r="D416" i="8"/>
  <c r="H434" i="8"/>
  <c r="F434" i="8"/>
  <c r="E434" i="8"/>
  <c r="D434" i="8"/>
  <c r="H373" i="8"/>
  <c r="D373" i="8"/>
  <c r="B373" i="8"/>
  <c r="H406" i="8"/>
  <c r="F406" i="8"/>
  <c r="H372" i="8"/>
  <c r="D372" i="8"/>
  <c r="B372" i="8"/>
  <c r="F404" i="8"/>
  <c r="E404" i="8"/>
  <c r="D404" i="8"/>
  <c r="H371" i="8"/>
  <c r="D371" i="8"/>
  <c r="B371" i="8"/>
  <c r="D362" i="8"/>
  <c r="B362" i="8"/>
  <c r="D361" i="8"/>
  <c r="B361" i="8"/>
  <c r="D360" i="8"/>
  <c r="B360" i="8"/>
  <c r="H359" i="8"/>
  <c r="B359" i="8"/>
  <c r="F424" i="8"/>
  <c r="H356" i="8"/>
  <c r="D356" i="8"/>
  <c r="B356" i="8"/>
  <c r="H422" i="8"/>
  <c r="E422" i="8"/>
  <c r="D422" i="8"/>
  <c r="H354" i="8"/>
  <c r="D354" i="8"/>
  <c r="B354" i="8"/>
  <c r="H419" i="8"/>
  <c r="F419" i="8"/>
  <c r="E419" i="8"/>
  <c r="H353" i="8"/>
  <c r="D353" i="8"/>
  <c r="B353" i="8"/>
  <c r="H418" i="8"/>
  <c r="F418" i="8"/>
  <c r="E418" i="8"/>
  <c r="D418" i="8"/>
  <c r="H351" i="8"/>
  <c r="D351" i="8"/>
  <c r="B351" i="8"/>
  <c r="H417" i="8"/>
  <c r="F417" i="8"/>
  <c r="E417" i="8"/>
  <c r="H350" i="8"/>
  <c r="D350" i="8"/>
  <c r="B350" i="8"/>
  <c r="H413" i="8"/>
  <c r="F413" i="8"/>
  <c r="E413" i="8"/>
  <c r="H346" i="8"/>
  <c r="D346" i="8"/>
  <c r="B346" i="8"/>
  <c r="H411" i="8"/>
  <c r="F411" i="8"/>
  <c r="E411" i="8"/>
  <c r="H344" i="8"/>
  <c r="D344" i="8"/>
  <c r="B344" i="8"/>
  <c r="H409" i="8"/>
  <c r="F409" i="8"/>
  <c r="H342" i="8"/>
  <c r="D342" i="8"/>
  <c r="B342" i="8"/>
  <c r="H408" i="8"/>
  <c r="F408" i="8"/>
  <c r="E408" i="8"/>
  <c r="H341" i="8"/>
  <c r="D341" i="8"/>
  <c r="B341" i="8"/>
  <c r="H407" i="8"/>
  <c r="F407" i="8"/>
  <c r="E407" i="8"/>
  <c r="H340" i="8"/>
  <c r="B340" i="8"/>
  <c r="H405" i="8"/>
  <c r="F405" i="8"/>
  <c r="E405" i="8"/>
  <c r="H339" i="8"/>
  <c r="D339" i="8"/>
  <c r="B339" i="8"/>
  <c r="D338" i="8"/>
  <c r="B338" i="8"/>
  <c r="B337" i="8"/>
  <c r="H402" i="8"/>
  <c r="E402" i="8"/>
  <c r="B336" i="8"/>
  <c r="F430" i="8"/>
  <c r="F429" i="8"/>
  <c r="F410" i="8"/>
  <c r="E410" i="8"/>
  <c r="H343" i="8"/>
  <c r="D343" i="8"/>
  <c r="B343" i="8"/>
  <c r="C216" i="8"/>
  <c r="L233" i="8" s="1"/>
  <c r="I594" i="8"/>
  <c r="J1" i="8"/>
  <c r="J90" i="8" s="1"/>
  <c r="J96" i="6" l="1"/>
  <c r="I465" i="8"/>
  <c r="E462" i="8"/>
  <c r="F93" i="6"/>
  <c r="J97" i="6"/>
  <c r="I466" i="8"/>
  <c r="B94" i="8"/>
  <c r="C154" i="8"/>
  <c r="L170" i="8" s="1"/>
  <c r="G47" i="6"/>
  <c r="D95" i="6" l="1"/>
  <c r="C464" i="8"/>
  <c r="B464" i="8"/>
  <c r="C95" i="6"/>
  <c r="H97" i="6"/>
  <c r="G466" i="8"/>
  <c r="J466" i="8" s="1"/>
  <c r="F97" i="6"/>
  <c r="E466" i="8"/>
  <c r="D97" i="6"/>
  <c r="C466" i="8"/>
  <c r="C97" i="6"/>
  <c r="B466" i="8"/>
  <c r="G465" i="8"/>
  <c r="J465" i="8" s="1"/>
  <c r="H96" i="6"/>
  <c r="C465" i="8"/>
  <c r="D96" i="6"/>
  <c r="G464" i="8"/>
  <c r="H95" i="6"/>
  <c r="B465" i="8"/>
  <c r="C96" i="6"/>
  <c r="F96" i="6"/>
  <c r="E465" i="8"/>
  <c r="F95" i="6"/>
  <c r="E464" i="8"/>
  <c r="AF24" i="2"/>
  <c r="Y24" i="2"/>
  <c r="H466" i="8" l="1"/>
  <c r="D465" i="8"/>
  <c r="D464" i="8"/>
  <c r="D466" i="8"/>
  <c r="H465" i="8"/>
  <c r="H464" i="8"/>
  <c r="E95" i="6"/>
  <c r="F466" i="8"/>
  <c r="F465" i="8"/>
  <c r="F464" i="8"/>
  <c r="AB42" i="2"/>
  <c r="AI42" i="2"/>
  <c r="G42" i="2"/>
  <c r="F437" i="8" s="1"/>
  <c r="AH42" i="2"/>
  <c r="E50" i="2" s="1"/>
  <c r="D447" i="8" s="1"/>
  <c r="AK42" i="2"/>
  <c r="E51" i="2" l="1"/>
  <c r="D448" i="8" s="1"/>
  <c r="L807" i="1" l="1"/>
  <c r="L777" i="1"/>
  <c r="L772" i="1"/>
  <c r="I262" i="1"/>
  <c r="L741" i="1"/>
  <c r="L716" i="1"/>
  <c r="L714" i="1"/>
  <c r="L711" i="1"/>
  <c r="L652" i="1"/>
  <c r="L650" i="1"/>
  <c r="L648" i="1"/>
  <c r="L647" i="1"/>
  <c r="L646" i="1"/>
  <c r="L592" i="1"/>
  <c r="L588" i="1"/>
  <c r="L586" i="1"/>
  <c r="L585" i="1"/>
  <c r="L583" i="1"/>
  <c r="L580" i="1"/>
  <c r="I260" i="1"/>
  <c r="L484" i="1"/>
  <c r="L459" i="1"/>
  <c r="L457" i="1"/>
  <c r="L456" i="1"/>
  <c r="L422" i="1"/>
  <c r="L421" i="1"/>
  <c r="L420" i="1"/>
  <c r="I259" i="1"/>
  <c r="I258" i="1"/>
  <c r="I264" i="1"/>
  <c r="B402" i="1"/>
  <c r="H393" i="1"/>
  <c r="H395" i="1"/>
  <c r="H402" i="1"/>
  <c r="H409" i="1"/>
  <c r="H420" i="1"/>
  <c r="H422" i="1"/>
  <c r="H394" i="1"/>
  <c r="H396" i="1"/>
  <c r="H397" i="1"/>
  <c r="H401" i="1"/>
  <c r="H404" i="1"/>
  <c r="H405" i="1"/>
  <c r="H406" i="1"/>
  <c r="H407" i="1"/>
  <c r="H410" i="1"/>
  <c r="H411" i="1"/>
  <c r="H412" i="1"/>
  <c r="H413" i="1"/>
  <c r="H414" i="1"/>
  <c r="H415" i="1"/>
  <c r="H416" i="1"/>
  <c r="L394" i="1"/>
  <c r="L396" i="1"/>
  <c r="L397" i="1"/>
  <c r="L401" i="1"/>
  <c r="L404" i="1"/>
  <c r="L405" i="1"/>
  <c r="L406" i="1"/>
  <c r="L412" i="1"/>
  <c r="L413" i="1"/>
  <c r="L414" i="1"/>
  <c r="L415" i="1"/>
  <c r="L416" i="1"/>
  <c r="L458" i="1"/>
  <c r="L460" i="1"/>
  <c r="L465" i="1"/>
  <c r="L468" i="1"/>
  <c r="L469" i="1"/>
  <c r="L470" i="1"/>
  <c r="L476" i="1"/>
  <c r="L477" i="1"/>
  <c r="L478" i="1"/>
  <c r="L479" i="1"/>
  <c r="L480" i="1"/>
  <c r="H458" i="1"/>
  <c r="H460" i="1"/>
  <c r="H465" i="1"/>
  <c r="H468" i="1"/>
  <c r="H469" i="1"/>
  <c r="H470" i="1"/>
  <c r="H471" i="1"/>
  <c r="H475" i="1"/>
  <c r="H476" i="1"/>
  <c r="H477" i="1"/>
  <c r="H478" i="1"/>
  <c r="H479" i="1"/>
  <c r="H480" i="1"/>
  <c r="H453" i="1"/>
  <c r="H455" i="1"/>
  <c r="H457" i="1"/>
  <c r="H459" i="1"/>
  <c r="H473" i="1"/>
  <c r="H474" i="1"/>
  <c r="H484" i="1"/>
  <c r="H485" i="1"/>
  <c r="B466" i="1"/>
  <c r="B531" i="1"/>
  <c r="H521" i="1"/>
  <c r="H537" i="1"/>
  <c r="H538" i="1"/>
  <c r="H517" i="1"/>
  <c r="H518" i="1"/>
  <c r="H519" i="1"/>
  <c r="H520" i="1"/>
  <c r="H522" i="1"/>
  <c r="H523" i="1"/>
  <c r="H524" i="1"/>
  <c r="H525" i="1"/>
  <c r="H526" i="1"/>
  <c r="H527" i="1"/>
  <c r="H528" i="1"/>
  <c r="H530" i="1"/>
  <c r="H531" i="1"/>
  <c r="H534" i="1"/>
  <c r="H535" i="1"/>
  <c r="H536" i="1"/>
  <c r="H539" i="1"/>
  <c r="H540" i="1"/>
  <c r="H541" i="1"/>
  <c r="H542" i="1"/>
  <c r="H543" i="1"/>
  <c r="H544" i="1"/>
  <c r="H545" i="1"/>
  <c r="H549" i="1"/>
  <c r="H550" i="1"/>
  <c r="H551" i="1"/>
  <c r="L517" i="1"/>
  <c r="L518" i="1"/>
  <c r="L519" i="1"/>
  <c r="L520" i="1"/>
  <c r="L522" i="1"/>
  <c r="L523" i="1"/>
  <c r="L524" i="1"/>
  <c r="L525" i="1"/>
  <c r="L526" i="1"/>
  <c r="L527" i="1"/>
  <c r="L528" i="1"/>
  <c r="L530" i="1"/>
  <c r="L531" i="1"/>
  <c r="L534" i="1"/>
  <c r="L535" i="1"/>
  <c r="L541" i="1"/>
  <c r="L542" i="1"/>
  <c r="L543" i="1"/>
  <c r="L544" i="1"/>
  <c r="L545" i="1"/>
  <c r="L550" i="1"/>
  <c r="L587" i="1"/>
  <c r="L589" i="1"/>
  <c r="L590" i="1"/>
  <c r="L591" i="1"/>
  <c r="L594" i="1"/>
  <c r="L597" i="1"/>
  <c r="L598" i="1"/>
  <c r="L599" i="1"/>
  <c r="L605" i="1"/>
  <c r="L606" i="1"/>
  <c r="L607" i="1"/>
  <c r="L608" i="1"/>
  <c r="L609" i="1"/>
  <c r="L613" i="1"/>
  <c r="H587" i="1"/>
  <c r="H589" i="1"/>
  <c r="H590" i="1"/>
  <c r="H591" i="1"/>
  <c r="H594" i="1"/>
  <c r="H597" i="1"/>
  <c r="H598" i="1"/>
  <c r="H599" i="1"/>
  <c r="H600" i="1"/>
  <c r="H603" i="1"/>
  <c r="H604" i="1"/>
  <c r="H605" i="1"/>
  <c r="H606" i="1"/>
  <c r="H607" i="1"/>
  <c r="H608" i="1"/>
  <c r="H609" i="1"/>
  <c r="H613" i="1"/>
  <c r="H586" i="1"/>
  <c r="H588" i="1"/>
  <c r="H592" i="1"/>
  <c r="H602" i="1"/>
  <c r="H614" i="1"/>
  <c r="H615" i="1"/>
  <c r="B595" i="1"/>
  <c r="B659" i="1"/>
  <c r="H645" i="1"/>
  <c r="H646" i="1"/>
  <c r="H647" i="1"/>
  <c r="H648" i="1"/>
  <c r="H650" i="1"/>
  <c r="H652" i="1"/>
  <c r="H655" i="1"/>
  <c r="H656" i="1"/>
  <c r="H666" i="1"/>
  <c r="H679" i="1"/>
  <c r="H651" i="1"/>
  <c r="H653" i="1"/>
  <c r="H658" i="1"/>
  <c r="H661" i="1"/>
  <c r="H662" i="1"/>
  <c r="H663" i="1"/>
  <c r="H664" i="1"/>
  <c r="H667" i="1"/>
  <c r="H668" i="1"/>
  <c r="H669" i="1"/>
  <c r="H670" i="1"/>
  <c r="H671" i="1"/>
  <c r="H672" i="1"/>
  <c r="H673" i="1"/>
  <c r="H677" i="1"/>
  <c r="H678" i="1"/>
  <c r="L651" i="1"/>
  <c r="L653" i="1"/>
  <c r="L658" i="1"/>
  <c r="L661" i="1"/>
  <c r="L662" i="1"/>
  <c r="L663" i="1"/>
  <c r="L669" i="1"/>
  <c r="L670" i="1"/>
  <c r="L671" i="1"/>
  <c r="L672" i="1"/>
  <c r="L673" i="1"/>
  <c r="L677" i="1"/>
  <c r="L678" i="1"/>
  <c r="L715" i="1"/>
  <c r="L718" i="1"/>
  <c r="L719" i="1"/>
  <c r="L722" i="1"/>
  <c r="L725" i="1"/>
  <c r="L726" i="1"/>
  <c r="L727" i="1"/>
  <c r="L733" i="1"/>
  <c r="L734" i="1"/>
  <c r="L735" i="1"/>
  <c r="L736" i="1"/>
  <c r="L737" i="1"/>
  <c r="H715" i="1"/>
  <c r="H718" i="1"/>
  <c r="H719" i="1"/>
  <c r="H722" i="1"/>
  <c r="H725" i="1"/>
  <c r="H726" i="1"/>
  <c r="H727" i="1"/>
  <c r="H728" i="1"/>
  <c r="H731" i="1"/>
  <c r="H732" i="1"/>
  <c r="H733" i="1"/>
  <c r="H734" i="1"/>
  <c r="H735" i="1"/>
  <c r="H736" i="1"/>
  <c r="H737" i="1"/>
  <c r="B723" i="1"/>
  <c r="H709" i="1"/>
  <c r="H711" i="1"/>
  <c r="H712" i="1"/>
  <c r="H714" i="1"/>
  <c r="H716" i="1"/>
  <c r="H720" i="1"/>
  <c r="H730" i="1"/>
  <c r="H741" i="1"/>
  <c r="H742" i="1"/>
  <c r="B787" i="1"/>
  <c r="H772" i="1"/>
  <c r="H773" i="1"/>
  <c r="H774" i="1"/>
  <c r="H787" i="1"/>
  <c r="H788" i="1"/>
  <c r="H794" i="1"/>
  <c r="H776" i="1"/>
  <c r="H778" i="1"/>
  <c r="H779" i="1"/>
  <c r="H780" i="1"/>
  <c r="H781" i="1"/>
  <c r="H782" i="1"/>
  <c r="H783" i="1"/>
  <c r="H784" i="1"/>
  <c r="H786" i="1"/>
  <c r="H789" i="1"/>
  <c r="H790" i="1"/>
  <c r="H791" i="1"/>
  <c r="H792" i="1"/>
  <c r="H795" i="1"/>
  <c r="H797" i="1"/>
  <c r="H798" i="1"/>
  <c r="H799" i="1"/>
  <c r="H800" i="1"/>
  <c r="H801" i="1"/>
  <c r="H805" i="1"/>
  <c r="H806" i="1"/>
  <c r="L776" i="1"/>
  <c r="L778" i="1"/>
  <c r="L779" i="1"/>
  <c r="L780" i="1"/>
  <c r="L781" i="1"/>
  <c r="L782" i="1"/>
  <c r="L783" i="1"/>
  <c r="L784" i="1"/>
  <c r="L786" i="1"/>
  <c r="L789" i="1"/>
  <c r="L790" i="1"/>
  <c r="L791" i="1"/>
  <c r="L797" i="1"/>
  <c r="L798" i="1"/>
  <c r="L799" i="1"/>
  <c r="L800" i="1"/>
  <c r="L801" i="1"/>
  <c r="L805" i="1"/>
  <c r="L806" i="1"/>
  <c r="I265" i="1"/>
  <c r="L849" i="1"/>
  <c r="L848" i="1"/>
  <c r="L846" i="1"/>
  <c r="L840" i="1"/>
  <c r="L835" i="1"/>
  <c r="B851" i="1"/>
  <c r="H835" i="1"/>
  <c r="H836" i="1"/>
  <c r="H839" i="1"/>
  <c r="H841" i="1"/>
  <c r="H844" i="1"/>
  <c r="H846" i="1"/>
  <c r="H848" i="1"/>
  <c r="H858" i="1"/>
  <c r="H871" i="1"/>
  <c r="H843" i="1"/>
  <c r="H845" i="1"/>
  <c r="H850" i="1"/>
  <c r="H853" i="1"/>
  <c r="H854" i="1"/>
  <c r="H855" i="1"/>
  <c r="H856" i="1"/>
  <c r="H859" i="1"/>
  <c r="H860" i="1"/>
  <c r="H861" i="1"/>
  <c r="H862" i="1"/>
  <c r="H863" i="1"/>
  <c r="H864" i="1"/>
  <c r="H865" i="1"/>
  <c r="H869" i="1"/>
  <c r="H870" i="1"/>
  <c r="L843" i="1"/>
  <c r="L845" i="1"/>
  <c r="L850" i="1"/>
  <c r="L853" i="1"/>
  <c r="L854" i="1"/>
  <c r="L855" i="1"/>
  <c r="L861" i="1"/>
  <c r="L862" i="1"/>
  <c r="L863" i="1"/>
  <c r="L864" i="1"/>
  <c r="L865" i="1"/>
  <c r="L869" i="1"/>
  <c r="L870" i="1"/>
  <c r="L898" i="1"/>
  <c r="L900" i="1"/>
  <c r="L901" i="1"/>
  <c r="L902" i="1"/>
  <c r="L903" i="1"/>
  <c r="L904" i="1"/>
  <c r="L905" i="1"/>
  <c r="L906" i="1"/>
  <c r="L907" i="1"/>
  <c r="L908" i="1"/>
  <c r="L910" i="1"/>
  <c r="L911" i="1"/>
  <c r="L912" i="1"/>
  <c r="L913" i="1"/>
  <c r="L914" i="1"/>
  <c r="L915" i="1"/>
  <c r="L917" i="1"/>
  <c r="L918" i="1"/>
  <c r="L919" i="1"/>
  <c r="L925" i="1"/>
  <c r="L926" i="1"/>
  <c r="L927" i="1"/>
  <c r="L928" i="1"/>
  <c r="L929" i="1"/>
  <c r="L933" i="1"/>
  <c r="L934" i="1"/>
  <c r="L935" i="1"/>
  <c r="H898" i="1"/>
  <c r="H900" i="1"/>
  <c r="H901" i="1"/>
  <c r="H902" i="1"/>
  <c r="H903" i="1"/>
  <c r="H904" i="1"/>
  <c r="H905" i="1"/>
  <c r="H906" i="1"/>
  <c r="H907" i="1"/>
  <c r="H908" i="1"/>
  <c r="H910" i="1"/>
  <c r="H911" i="1"/>
  <c r="H912" i="1"/>
  <c r="H913" i="1"/>
  <c r="H914" i="1"/>
  <c r="H915" i="1"/>
  <c r="H917" i="1"/>
  <c r="H918" i="1"/>
  <c r="H919" i="1"/>
  <c r="H920" i="1"/>
  <c r="H922" i="1"/>
  <c r="H923" i="1"/>
  <c r="H924" i="1"/>
  <c r="H925" i="1"/>
  <c r="H926" i="1"/>
  <c r="H927" i="1"/>
  <c r="H928" i="1"/>
  <c r="H929" i="1"/>
  <c r="H933" i="1"/>
  <c r="H934" i="1"/>
  <c r="H935" i="1"/>
  <c r="B915" i="1"/>
  <c r="B979" i="1"/>
  <c r="J994" i="1"/>
  <c r="J1000" i="1" s="1"/>
  <c r="H743" i="1" l="1"/>
  <c r="H660" i="1"/>
  <c r="L743" i="1"/>
  <c r="L486" i="1"/>
  <c r="L615" i="1"/>
  <c r="H462" i="1"/>
  <c r="H486" i="1"/>
  <c r="F994" i="1"/>
  <c r="F1000" i="1" s="1"/>
  <c r="L551" i="1"/>
  <c r="L614" i="1"/>
  <c r="F866" i="1"/>
  <c r="F872" i="1" s="1"/>
  <c r="L773" i="1"/>
  <c r="L871" i="1"/>
  <c r="J866" i="1"/>
  <c r="J872" i="1" s="1"/>
  <c r="L742" i="1"/>
  <c r="L679" i="1"/>
  <c r="J930" i="1"/>
  <c r="J936" i="1" s="1"/>
  <c r="L485" i="1"/>
  <c r="H837" i="1"/>
  <c r="L842" i="1"/>
  <c r="H847" i="1"/>
  <c r="L851" i="1"/>
  <c r="H842" i="1"/>
  <c r="L844" i="1"/>
  <c r="H723" i="1"/>
  <c r="H851" i="1"/>
  <c r="H840" i="1"/>
  <c r="L839" i="1"/>
  <c r="L645" i="1"/>
  <c r="L660" i="1"/>
  <c r="L837" i="1"/>
  <c r="L841" i="1"/>
  <c r="L774" i="1"/>
  <c r="L455" i="1"/>
  <c r="H585" i="1"/>
  <c r="H852" i="1"/>
  <c r="H456" i="1"/>
  <c r="H659" i="1"/>
  <c r="H387" i="1"/>
  <c r="H654" i="1"/>
  <c r="L709" i="1"/>
  <c r="H584" i="1"/>
  <c r="L720" i="1"/>
  <c r="H391" i="1"/>
  <c r="L399" i="1"/>
  <c r="H916" i="1"/>
  <c r="L391" i="1"/>
  <c r="L788" i="1"/>
  <c r="L655" i="1"/>
  <c r="L710" i="1"/>
  <c r="L852" i="1"/>
  <c r="L584" i="1"/>
  <c r="L712" i="1"/>
  <c r="H399" i="1"/>
  <c r="H392" i="1"/>
  <c r="L787" i="1"/>
  <c r="H533" i="1"/>
  <c r="H710" i="1"/>
  <c r="H657" i="1"/>
  <c r="H388" i="1"/>
  <c r="L595" i="1"/>
  <c r="L649" i="1"/>
  <c r="L836" i="1"/>
  <c r="H649" i="1"/>
  <c r="L408" i="1"/>
  <c r="L463" i="1"/>
  <c r="H595" i="1"/>
  <c r="L453" i="1"/>
  <c r="L723" i="1"/>
  <c r="L387" i="1"/>
  <c r="H857" i="1"/>
  <c r="H838" i="1"/>
  <c r="H463" i="1"/>
  <c r="L857" i="1"/>
  <c r="L657" i="1"/>
  <c r="L838" i="1"/>
  <c r="H580" i="1"/>
  <c r="L392" i="1"/>
  <c r="L529" i="1"/>
  <c r="L537" i="1"/>
  <c r="L642" i="1"/>
  <c r="H644" i="1"/>
  <c r="H464" i="1"/>
  <c r="H593" i="1"/>
  <c r="H708" i="1"/>
  <c r="H454" i="1"/>
  <c r="L665" i="1"/>
  <c r="H398" i="1"/>
  <c r="L721" i="1"/>
  <c r="H796" i="1"/>
  <c r="L708" i="1"/>
  <c r="L578" i="1"/>
  <c r="H385" i="1"/>
  <c r="H793" i="1"/>
  <c r="L472" i="1"/>
  <c r="H467" i="1"/>
  <c r="H578" i="1"/>
  <c r="H514" i="1"/>
  <c r="L461" i="1"/>
  <c r="I261" i="1"/>
  <c r="H721" i="1"/>
  <c r="L462" i="1"/>
  <c r="L464" i="1"/>
  <c r="L452" i="1"/>
  <c r="L467" i="1"/>
  <c r="L582" i="1"/>
  <c r="H717" i="1"/>
  <c r="L724" i="1"/>
  <c r="L909" i="1"/>
  <c r="L514" i="1"/>
  <c r="L659" i="1"/>
  <c r="H581" i="1"/>
  <c r="L393" i="1"/>
  <c r="L454" i="1"/>
  <c r="H408" i="1"/>
  <c r="H777" i="1"/>
  <c r="D994" i="1"/>
  <c r="L532" i="1"/>
  <c r="H390" i="1"/>
  <c r="H472" i="1"/>
  <c r="L521" i="1"/>
  <c r="D674" i="1"/>
  <c r="D680" i="1" s="1"/>
  <c r="H724" i="1"/>
  <c r="H461" i="1"/>
  <c r="H729" i="1"/>
  <c r="D930" i="1"/>
  <c r="D936" i="1" s="1"/>
  <c r="D610" i="1"/>
  <c r="D616" i="1" s="1"/>
  <c r="L400" i="1"/>
  <c r="L596" i="1"/>
  <c r="D481" i="1"/>
  <c r="H583" i="1"/>
  <c r="H532" i="1"/>
  <c r="H596" i="1"/>
  <c r="D802" i="1"/>
  <c r="D808" i="1" s="1"/>
  <c r="H601" i="1"/>
  <c r="H775" i="1"/>
  <c r="L793" i="1"/>
  <c r="L921" i="1"/>
  <c r="H466" i="1"/>
  <c r="H452" i="1"/>
  <c r="H582" i="1"/>
  <c r="L775" i="1"/>
  <c r="L729" i="1"/>
  <c r="L717" i="1"/>
  <c r="H665" i="1"/>
  <c r="L656" i="1"/>
  <c r="L654" i="1"/>
  <c r="L644" i="1"/>
  <c r="L593" i="1"/>
  <c r="L581" i="1"/>
  <c r="L601" i="1"/>
  <c r="L549" i="1"/>
  <c r="L533" i="1"/>
  <c r="H529" i="1"/>
  <c r="L403" i="1"/>
  <c r="L402" i="1"/>
  <c r="H400" i="1"/>
  <c r="L398" i="1"/>
  <c r="L395" i="1"/>
  <c r="L390" i="1"/>
  <c r="L388" i="1"/>
  <c r="H421" i="1"/>
  <c r="D546" i="1"/>
  <c r="H642" i="1"/>
  <c r="H807" i="1"/>
  <c r="L847" i="1"/>
  <c r="L834" i="1"/>
  <c r="H849" i="1"/>
  <c r="H834" i="1"/>
  <c r="D866" i="1"/>
  <c r="D872" i="1" s="1"/>
  <c r="H921" i="1"/>
  <c r="L916" i="1"/>
  <c r="H909" i="1"/>
  <c r="E12" i="6" l="1"/>
  <c r="I162" i="8"/>
  <c r="D15" i="6"/>
  <c r="F165" i="8"/>
  <c r="C12" i="6"/>
  <c r="C162" i="8"/>
  <c r="C11" i="6"/>
  <c r="C161" i="8"/>
  <c r="E15" i="6"/>
  <c r="I165" i="8"/>
  <c r="D487" i="1"/>
  <c r="D1000" i="1"/>
  <c r="C165" i="8" s="1"/>
  <c r="L866" i="1"/>
  <c r="L872" i="1"/>
  <c r="D552" i="1"/>
  <c r="H866" i="1"/>
  <c r="K180" i="8" l="1"/>
  <c r="M180" i="8"/>
  <c r="N180" i="8"/>
  <c r="L180" i="8"/>
  <c r="C9" i="6"/>
  <c r="C159" i="8"/>
  <c r="C8" i="6"/>
  <c r="C158" i="8"/>
  <c r="C15" i="6"/>
  <c r="H872" i="1"/>
  <c r="H962" i="1" l="1"/>
  <c r="H963" i="1"/>
  <c r="H964" i="1"/>
  <c r="H965" i="1"/>
  <c r="H966" i="1"/>
  <c r="H967" i="1"/>
  <c r="H968" i="1"/>
  <c r="H969" i="1"/>
  <c r="H970" i="1"/>
  <c r="H971" i="1"/>
  <c r="H972" i="1"/>
  <c r="H973" i="1"/>
  <c r="H974" i="1"/>
  <c r="H975" i="1"/>
  <c r="H976" i="1"/>
  <c r="H977" i="1"/>
  <c r="H978" i="1"/>
  <c r="H979" i="1"/>
  <c r="H980" i="1"/>
  <c r="H981" i="1"/>
  <c r="H982" i="1"/>
  <c r="H983" i="1"/>
  <c r="H984" i="1"/>
  <c r="H985" i="1"/>
  <c r="H986" i="1"/>
  <c r="H987" i="1"/>
  <c r="H988" i="1"/>
  <c r="H989" i="1"/>
  <c r="H990" i="1"/>
  <c r="H991" i="1"/>
  <c r="H992" i="1"/>
  <c r="H993" i="1"/>
  <c r="H994" i="1"/>
  <c r="H997" i="1"/>
  <c r="H998" i="1"/>
  <c r="H999" i="1"/>
  <c r="H1000" i="1"/>
  <c r="L962" i="1"/>
  <c r="L963" i="1"/>
  <c r="L964" i="1"/>
  <c r="L965" i="1"/>
  <c r="L966" i="1"/>
  <c r="L967" i="1"/>
  <c r="L968" i="1"/>
  <c r="L969" i="1"/>
  <c r="L970" i="1"/>
  <c r="L971" i="1"/>
  <c r="L972" i="1"/>
  <c r="L973" i="1"/>
  <c r="L974" i="1"/>
  <c r="L975" i="1"/>
  <c r="L976" i="1"/>
  <c r="L977" i="1"/>
  <c r="L978" i="1"/>
  <c r="L979" i="1"/>
  <c r="L980" i="1"/>
  <c r="L981" i="1"/>
  <c r="L982" i="1"/>
  <c r="L983" i="1"/>
  <c r="L985" i="1"/>
  <c r="L989" i="1"/>
  <c r="L990" i="1"/>
  <c r="L991" i="1"/>
  <c r="L992" i="1"/>
  <c r="L993" i="1"/>
  <c r="L994" i="1"/>
  <c r="L997" i="1"/>
  <c r="L998" i="1"/>
  <c r="L999" i="1"/>
  <c r="L1000" i="1"/>
  <c r="L1045" i="1"/>
  <c r="H1030" i="1"/>
  <c r="H1031" i="1"/>
  <c r="H1032" i="1"/>
  <c r="H1033" i="1"/>
  <c r="H1035" i="1"/>
  <c r="H1036" i="1"/>
  <c r="H1037" i="1"/>
  <c r="H1038" i="1"/>
  <c r="H1039" i="1"/>
  <c r="H1040" i="1"/>
  <c r="H1041" i="1"/>
  <c r="H1042" i="1"/>
  <c r="H1043" i="1"/>
  <c r="H1044" i="1"/>
  <c r="H1046" i="1"/>
  <c r="H1047" i="1"/>
  <c r="H1048" i="1"/>
  <c r="H1049" i="1"/>
  <c r="H1050" i="1"/>
  <c r="H1051" i="1"/>
  <c r="H1052" i="1"/>
  <c r="H1053" i="1"/>
  <c r="H1054" i="1"/>
  <c r="H1055" i="1"/>
  <c r="H1056" i="1"/>
  <c r="H1058" i="1"/>
  <c r="H1062" i="1"/>
  <c r="H1063" i="1"/>
  <c r="H1064" i="1"/>
  <c r="B1044" i="1"/>
  <c r="H1028" i="1"/>
  <c r="H1029" i="1"/>
  <c r="H1045" i="1"/>
  <c r="L1030" i="1"/>
  <c r="L1031" i="1"/>
  <c r="L1032" i="1"/>
  <c r="L1033" i="1"/>
  <c r="L1035" i="1"/>
  <c r="L1036" i="1"/>
  <c r="L1037" i="1"/>
  <c r="L1038" i="1"/>
  <c r="L1039" i="1"/>
  <c r="L1040" i="1"/>
  <c r="L1041" i="1"/>
  <c r="L1042" i="1"/>
  <c r="L1043" i="1"/>
  <c r="L1044" i="1"/>
  <c r="L1046" i="1"/>
  <c r="L1047" i="1"/>
  <c r="L1048" i="1"/>
  <c r="L1050" i="1"/>
  <c r="L1054" i="1"/>
  <c r="L1055" i="1"/>
  <c r="L1056" i="1"/>
  <c r="L1058" i="1"/>
  <c r="L1062" i="1"/>
  <c r="L1063" i="1"/>
  <c r="L1064" i="1"/>
  <c r="F1059" i="1" l="1"/>
  <c r="F1065" i="1" s="1"/>
  <c r="F1188" i="1"/>
  <c r="F1194" i="1" s="1"/>
  <c r="F1123" i="1"/>
  <c r="F1129" i="1" s="1"/>
  <c r="J1059" i="1"/>
  <c r="J1065" i="1" s="1"/>
  <c r="H1057" i="1"/>
  <c r="L1057" i="1"/>
  <c r="D1059" i="1"/>
  <c r="D1065" i="1" s="1"/>
  <c r="H1034" i="1"/>
  <c r="H1027" i="1"/>
  <c r="L1034" i="1"/>
  <c r="L1029" i="1"/>
  <c r="L1028" i="1"/>
  <c r="L1027" i="1"/>
  <c r="L1091" i="1"/>
  <c r="L1092" i="1"/>
  <c r="L1093" i="1"/>
  <c r="L1094" i="1"/>
  <c r="L1095" i="1"/>
  <c r="L1096" i="1"/>
  <c r="L1097" i="1"/>
  <c r="L1098" i="1"/>
  <c r="L1099" i="1"/>
  <c r="L1100" i="1"/>
  <c r="L1101" i="1"/>
  <c r="L1102" i="1"/>
  <c r="L1103" i="1"/>
  <c r="L1104" i="1"/>
  <c r="L1105" i="1"/>
  <c r="L1106" i="1"/>
  <c r="L1107" i="1"/>
  <c r="L1108" i="1"/>
  <c r="L1109" i="1"/>
  <c r="L1110" i="1"/>
  <c r="L1111" i="1"/>
  <c r="L1112" i="1"/>
  <c r="L1114" i="1"/>
  <c r="L1119" i="1"/>
  <c r="L1120" i="1"/>
  <c r="L1121" i="1"/>
  <c r="L1122" i="1"/>
  <c r="L1126" i="1"/>
  <c r="L1127" i="1"/>
  <c r="L1128" i="1"/>
  <c r="H1091" i="1"/>
  <c r="H1092" i="1"/>
  <c r="H1093" i="1"/>
  <c r="H1094" i="1"/>
  <c r="H1095" i="1"/>
  <c r="H1096" i="1"/>
  <c r="H1097" i="1"/>
  <c r="H1099" i="1"/>
  <c r="H1100" i="1"/>
  <c r="H1101" i="1"/>
  <c r="H1102" i="1"/>
  <c r="H1103" i="1"/>
  <c r="H1104" i="1"/>
  <c r="H1105" i="1"/>
  <c r="H1106" i="1"/>
  <c r="H1107" i="1"/>
  <c r="H1108" i="1"/>
  <c r="H1109" i="1"/>
  <c r="H1110" i="1"/>
  <c r="H1111" i="1"/>
  <c r="H1112" i="1"/>
  <c r="H1113" i="1"/>
  <c r="H1114" i="1"/>
  <c r="H1115" i="1"/>
  <c r="H1116" i="1"/>
  <c r="H1117" i="1"/>
  <c r="H1121" i="1"/>
  <c r="H1126" i="1"/>
  <c r="H1127" i="1"/>
  <c r="H1128" i="1"/>
  <c r="H1098" i="1"/>
  <c r="H1118" i="1"/>
  <c r="H1119" i="1"/>
  <c r="H1120" i="1"/>
  <c r="H1122" i="1"/>
  <c r="B1108" i="1"/>
  <c r="B1173" i="1"/>
  <c r="H1158" i="1"/>
  <c r="H1165" i="1"/>
  <c r="H1172" i="1"/>
  <c r="H1175" i="1"/>
  <c r="H1177" i="1"/>
  <c r="H1180" i="1"/>
  <c r="H1157" i="1"/>
  <c r="H1159" i="1"/>
  <c r="H1166" i="1"/>
  <c r="H1167" i="1"/>
  <c r="H1174" i="1"/>
  <c r="H1176" i="1"/>
  <c r="H1179" i="1"/>
  <c r="H1182" i="1"/>
  <c r="H1183" i="1"/>
  <c r="H1184" i="1"/>
  <c r="H1185" i="1"/>
  <c r="H1186" i="1"/>
  <c r="H1187" i="1"/>
  <c r="H1191" i="1"/>
  <c r="H1192" i="1"/>
  <c r="H1193" i="1"/>
  <c r="L1157" i="1"/>
  <c r="L1159" i="1"/>
  <c r="L1165" i="1"/>
  <c r="L1166" i="1"/>
  <c r="L1167" i="1"/>
  <c r="L1172" i="1"/>
  <c r="L1174" i="1"/>
  <c r="L1175" i="1"/>
  <c r="L1176" i="1"/>
  <c r="L1177" i="1"/>
  <c r="L1179" i="1"/>
  <c r="L1182" i="1"/>
  <c r="L1183" i="1"/>
  <c r="L1184" i="1"/>
  <c r="L1185" i="1"/>
  <c r="L1186" i="1"/>
  <c r="L1187" i="1"/>
  <c r="L1191" i="1"/>
  <c r="L1192" i="1"/>
  <c r="L1193" i="1"/>
  <c r="L328" i="1"/>
  <c r="J343" i="8" s="1"/>
  <c r="L329" i="1"/>
  <c r="J344" i="8" s="1"/>
  <c r="L330" i="1"/>
  <c r="J345" i="8" s="1"/>
  <c r="L331" i="1"/>
  <c r="J346" i="8" s="1"/>
  <c r="L332" i="1"/>
  <c r="J347" i="8" s="1"/>
  <c r="L333" i="1"/>
  <c r="J348" i="8" s="1"/>
  <c r="L334" i="1"/>
  <c r="J349" i="8" s="1"/>
  <c r="L335" i="1"/>
  <c r="J350" i="8" s="1"/>
  <c r="L336" i="1"/>
  <c r="J351" i="8" s="1"/>
  <c r="L337" i="1"/>
  <c r="J352" i="8" s="1"/>
  <c r="L338" i="1"/>
  <c r="J353" i="8" s="1"/>
  <c r="L339" i="1"/>
  <c r="J354" i="8" s="1"/>
  <c r="L340" i="1"/>
  <c r="J355" i="8" s="1"/>
  <c r="L341" i="1"/>
  <c r="J356" i="8" s="1"/>
  <c r="L342" i="1"/>
  <c r="J357" i="8" s="1"/>
  <c r="L348" i="1"/>
  <c r="J363" i="8" s="1"/>
  <c r="L349" i="1"/>
  <c r="J364" i="8" s="1"/>
  <c r="L350" i="1"/>
  <c r="J365" i="8" s="1"/>
  <c r="L351" i="1"/>
  <c r="J366" i="8" s="1"/>
  <c r="L352" i="1"/>
  <c r="J367" i="8" s="1"/>
  <c r="L356" i="1"/>
  <c r="J371" i="8" s="1"/>
  <c r="L357" i="1"/>
  <c r="J372" i="8" s="1"/>
  <c r="L358" i="1"/>
  <c r="J373" i="8" s="1"/>
  <c r="H330" i="1"/>
  <c r="F345" i="8" s="1"/>
  <c r="H332" i="1"/>
  <c r="F347" i="8" s="1"/>
  <c r="H333" i="1"/>
  <c r="F348" i="8" s="1"/>
  <c r="H334" i="1"/>
  <c r="F349" i="8" s="1"/>
  <c r="H337" i="1"/>
  <c r="F352" i="8" s="1"/>
  <c r="H340" i="1"/>
  <c r="F355" i="8" s="1"/>
  <c r="H342" i="1"/>
  <c r="F357" i="8" s="1"/>
  <c r="H343" i="1"/>
  <c r="F358" i="8" s="1"/>
  <c r="H348" i="1"/>
  <c r="F363" i="8" s="1"/>
  <c r="H349" i="1"/>
  <c r="F364" i="8" s="1"/>
  <c r="H350" i="1"/>
  <c r="F365" i="8" s="1"/>
  <c r="H351" i="1"/>
  <c r="F366" i="8" s="1"/>
  <c r="H352" i="1"/>
  <c r="F367" i="8" s="1"/>
  <c r="L326" i="1"/>
  <c r="J341" i="8" s="1"/>
  <c r="L324" i="1"/>
  <c r="J339" i="8" s="1"/>
  <c r="H328" i="1"/>
  <c r="F343" i="8" s="1"/>
  <c r="H329" i="1"/>
  <c r="F344" i="8" s="1"/>
  <c r="H331" i="1"/>
  <c r="F346" i="8" s="1"/>
  <c r="H335" i="1"/>
  <c r="F350" i="8" s="1"/>
  <c r="D258" i="1"/>
  <c r="H338" i="1"/>
  <c r="F353" i="8" s="1"/>
  <c r="H339" i="1"/>
  <c r="F354" i="8" s="1"/>
  <c r="H341" i="1"/>
  <c r="F356" i="8" s="1"/>
  <c r="H345" i="1"/>
  <c r="F360" i="8" s="1"/>
  <c r="H346" i="1"/>
  <c r="F361" i="8" s="1"/>
  <c r="H347" i="1"/>
  <c r="F362" i="8" s="1"/>
  <c r="H356" i="1"/>
  <c r="F371" i="8" s="1"/>
  <c r="H357" i="1"/>
  <c r="F372" i="8" s="1"/>
  <c r="H358" i="1"/>
  <c r="F373" i="8" s="1"/>
  <c r="D259" i="1"/>
  <c r="D260" i="1"/>
  <c r="D261" i="1"/>
  <c r="D262" i="1"/>
  <c r="D263" i="1"/>
  <c r="D264" i="1"/>
  <c r="D265" i="1"/>
  <c r="F258" i="1"/>
  <c r="F259" i="1"/>
  <c r="F260" i="1"/>
  <c r="K260" i="1" s="1"/>
  <c r="F261" i="1"/>
  <c r="F262" i="1"/>
  <c r="K262" i="1" s="1"/>
  <c r="F264" i="1"/>
  <c r="F265" i="1"/>
  <c r="D132" i="1"/>
  <c r="D133" i="1"/>
  <c r="D134" i="1"/>
  <c r="D135" i="1"/>
  <c r="D136" i="1"/>
  <c r="D137" i="1"/>
  <c r="H137" i="1" s="1"/>
  <c r="D138" i="1"/>
  <c r="F132" i="1"/>
  <c r="F135" i="1"/>
  <c r="F136" i="1"/>
  <c r="F137" i="1"/>
  <c r="F138" i="1"/>
  <c r="I132" i="1"/>
  <c r="I133" i="1"/>
  <c r="I134" i="1"/>
  <c r="I135" i="1"/>
  <c r="I136" i="1"/>
  <c r="I137" i="1"/>
  <c r="I138" i="1"/>
  <c r="I70" i="1"/>
  <c r="I73" i="1"/>
  <c r="I74" i="1"/>
  <c r="F68" i="1"/>
  <c r="F70" i="1"/>
  <c r="F73" i="1"/>
  <c r="F74" i="1"/>
  <c r="D68" i="1"/>
  <c r="D69" i="1"/>
  <c r="D70" i="1"/>
  <c r="D71" i="1"/>
  <c r="D72" i="1"/>
  <c r="D73" i="1"/>
  <c r="D74" i="1"/>
  <c r="I12" i="1"/>
  <c r="G102" i="8" s="1"/>
  <c r="I15" i="1"/>
  <c r="G105" i="8" s="1"/>
  <c r="F15" i="1"/>
  <c r="D105" i="8" s="1"/>
  <c r="D8" i="1"/>
  <c r="B98" i="8" s="1"/>
  <c r="D9" i="1"/>
  <c r="B99" i="8" s="1"/>
  <c r="D11" i="1"/>
  <c r="B101" i="8" s="1"/>
  <c r="D12" i="1"/>
  <c r="B102" i="8" s="1"/>
  <c r="D15" i="1"/>
  <c r="B105" i="8" s="1"/>
  <c r="R887" i="1"/>
  <c r="R1013" i="1"/>
  <c r="Q887" i="1"/>
  <c r="Q1013" i="1"/>
  <c r="Q1142" i="1"/>
  <c r="P368" i="1"/>
  <c r="P437" i="1"/>
  <c r="P498" i="1"/>
  <c r="P562" i="1"/>
  <c r="P628" i="1"/>
  <c r="P693" i="1"/>
  <c r="P757" i="1"/>
  <c r="P822" i="1"/>
  <c r="P885" i="1"/>
  <c r="P887" i="1"/>
  <c r="P951" i="1"/>
  <c r="P1011" i="1"/>
  <c r="P1013" i="1"/>
  <c r="P1203" i="1"/>
  <c r="O370" i="1"/>
  <c r="O375" i="1"/>
  <c r="O376" i="1"/>
  <c r="O377" i="1"/>
  <c r="O439" i="1"/>
  <c r="O500" i="1"/>
  <c r="O564" i="1"/>
  <c r="O630" i="1"/>
  <c r="O695" i="1"/>
  <c r="O759" i="1"/>
  <c r="O824" i="1"/>
  <c r="O887" i="1"/>
  <c r="O953" i="1"/>
  <c r="O1013" i="1"/>
  <c r="O1077" i="1"/>
  <c r="O1145" i="1"/>
  <c r="O1205" i="1"/>
  <c r="O1330" i="1"/>
  <c r="O1318" i="1" s="1"/>
  <c r="O1346" i="1"/>
  <c r="O1321" i="1" s="1"/>
  <c r="O1363" i="1"/>
  <c r="O1319" i="1" s="1"/>
  <c r="O1364" i="1"/>
  <c r="O1320" i="1" s="1"/>
  <c r="O1445" i="1"/>
  <c r="O1473" i="1"/>
  <c r="P1269" i="1"/>
  <c r="D1285" i="1"/>
  <c r="D13" i="1" l="1"/>
  <c r="B103" i="8" s="1"/>
  <c r="C13" i="6"/>
  <c r="C163" i="8"/>
  <c r="I13" i="1"/>
  <c r="G103" i="8" s="1"/>
  <c r="E13" i="6"/>
  <c r="I163" i="8"/>
  <c r="F14" i="1"/>
  <c r="D104" i="8" s="1"/>
  <c r="D14" i="6"/>
  <c r="F164" i="8"/>
  <c r="F13" i="1"/>
  <c r="D103" i="8" s="1"/>
  <c r="D13" i="6"/>
  <c r="F163" i="8"/>
  <c r="S1141" i="1"/>
  <c r="H136" i="1"/>
  <c r="K138" i="1"/>
  <c r="K136" i="1"/>
  <c r="K132" i="1"/>
  <c r="D201" i="1"/>
  <c r="O287" i="1"/>
  <c r="D65" i="1"/>
  <c r="E48" i="2"/>
  <c r="D445" i="8" s="1"/>
  <c r="L1059" i="1"/>
  <c r="D200" i="1"/>
  <c r="B287" i="8" s="1"/>
  <c r="H1059" i="1"/>
  <c r="O157" i="1"/>
  <c r="K15" i="1"/>
  <c r="I105" i="8" s="1"/>
  <c r="H323" i="1"/>
  <c r="F338" i="8" s="1"/>
  <c r="P1377" i="1"/>
  <c r="P1381" i="1"/>
  <c r="D131" i="1"/>
  <c r="D139" i="1" s="1"/>
  <c r="L1314" i="1"/>
  <c r="R287" i="1"/>
  <c r="L1065" i="1"/>
  <c r="P1077" i="1"/>
  <c r="P287" i="1"/>
  <c r="H336" i="1"/>
  <c r="F351" i="8" s="1"/>
  <c r="Q377" i="1"/>
  <c r="R289" i="1"/>
  <c r="D193" i="1"/>
  <c r="B280" i="8" s="1"/>
  <c r="H326" i="1"/>
  <c r="F341" i="8" s="1"/>
  <c r="F196" i="1"/>
  <c r="D283" i="8" s="1"/>
  <c r="H327" i="1"/>
  <c r="F342" i="8" s="1"/>
  <c r="O1381" i="1"/>
  <c r="H1065" i="1"/>
  <c r="H15" i="1"/>
  <c r="F105" i="8" s="1"/>
  <c r="D256" i="1"/>
  <c r="O285" i="1"/>
  <c r="H324" i="1"/>
  <c r="F339" i="8" s="1"/>
  <c r="K135" i="1"/>
  <c r="D1154" i="1"/>
  <c r="D129" i="1"/>
  <c r="H260" i="1"/>
  <c r="D1251" i="1"/>
  <c r="H73" i="1"/>
  <c r="D1123" i="1"/>
  <c r="H1123" i="1" s="1"/>
  <c r="O1377" i="1"/>
  <c r="R1362" i="1"/>
  <c r="D1089" i="1"/>
  <c r="D319" i="1"/>
  <c r="B334" i="8" s="1"/>
  <c r="R1345" i="1"/>
  <c r="Q286" i="1"/>
  <c r="R1329" i="1"/>
  <c r="R1317" i="1" s="1"/>
  <c r="P499" i="1"/>
  <c r="D383" i="1"/>
  <c r="D960" i="1"/>
  <c r="D768" i="1"/>
  <c r="D704" i="1"/>
  <c r="D1436" i="1"/>
  <c r="B592" i="8" s="1"/>
  <c r="D896" i="1"/>
  <c r="D576" i="1"/>
  <c r="D640" i="1"/>
  <c r="D447" i="1"/>
  <c r="D511" i="1"/>
  <c r="D832" i="1"/>
  <c r="D1025" i="1"/>
  <c r="K74" i="1"/>
  <c r="L327" i="1"/>
  <c r="J342" i="8" s="1"/>
  <c r="Q287" i="1"/>
  <c r="H135" i="1"/>
  <c r="P291" i="1"/>
  <c r="K70" i="1"/>
  <c r="K137" i="1"/>
  <c r="I198" i="1"/>
  <c r="G285" i="8" s="1"/>
  <c r="Q288" i="1"/>
  <c r="R90" i="1"/>
  <c r="P286" i="1"/>
  <c r="K259" i="1"/>
  <c r="H259" i="1"/>
  <c r="O286" i="1"/>
  <c r="R286" i="1"/>
  <c r="H68" i="1"/>
  <c r="Q151" i="1"/>
  <c r="D196" i="1"/>
  <c r="B283" i="8" s="1"/>
  <c r="D197" i="1"/>
  <c r="B284" i="8" s="1"/>
  <c r="P288" i="1"/>
  <c r="O288" i="1"/>
  <c r="H70" i="1"/>
  <c r="D198" i="1"/>
  <c r="B285" i="8" s="1"/>
  <c r="H261" i="1"/>
  <c r="D199" i="1"/>
  <c r="B286" i="8" s="1"/>
  <c r="H262" i="1"/>
  <c r="Q154" i="1"/>
  <c r="Q289" i="1"/>
  <c r="R154" i="1"/>
  <c r="O289" i="1"/>
  <c r="P289" i="1"/>
  <c r="P154" i="1"/>
  <c r="O292" i="1"/>
  <c r="I202" i="1"/>
  <c r="G289" i="8" s="1"/>
  <c r="H74" i="1"/>
  <c r="R292" i="1"/>
  <c r="R94" i="1"/>
  <c r="D202" i="1"/>
  <c r="B289" i="8" s="1"/>
  <c r="F202" i="1"/>
  <c r="D289" i="8" s="1"/>
  <c r="R157" i="1"/>
  <c r="F201" i="1"/>
  <c r="D288" i="8" s="1"/>
  <c r="R93" i="1"/>
  <c r="R1077" i="1"/>
  <c r="Q1077" i="1"/>
  <c r="O156" i="1"/>
  <c r="R156" i="1"/>
  <c r="I201" i="1"/>
  <c r="G288" i="8" s="1"/>
  <c r="P93" i="1"/>
  <c r="Q93" i="1"/>
  <c r="K73" i="1"/>
  <c r="O93" i="1"/>
  <c r="F131" i="1"/>
  <c r="R377" i="1"/>
  <c r="D353" i="1"/>
  <c r="P377" i="1"/>
  <c r="D67" i="1"/>
  <c r="Q291" i="1"/>
  <c r="R285" i="1"/>
  <c r="D266" i="1"/>
  <c r="E266" i="1" s="1"/>
  <c r="H265" i="1"/>
  <c r="H264" i="1"/>
  <c r="O291" i="1"/>
  <c r="P285" i="1"/>
  <c r="R291" i="1"/>
  <c r="H258" i="1"/>
  <c r="K258" i="1"/>
  <c r="Q285" i="1"/>
  <c r="K264" i="1"/>
  <c r="Q292" i="1"/>
  <c r="K265" i="1"/>
  <c r="R288" i="1"/>
  <c r="P292" i="1"/>
  <c r="K261" i="1"/>
  <c r="Q157" i="1"/>
  <c r="P157" i="1"/>
  <c r="H138" i="1"/>
  <c r="Q156" i="1"/>
  <c r="O155" i="1"/>
  <c r="R151" i="1"/>
  <c r="O154" i="1"/>
  <c r="P156" i="1"/>
  <c r="H132" i="1"/>
  <c r="O151" i="1"/>
  <c r="P151" i="1"/>
  <c r="Q155" i="1"/>
  <c r="P155" i="1"/>
  <c r="R155" i="1"/>
  <c r="Q94" i="1"/>
  <c r="O94" i="1"/>
  <c r="P94" i="1"/>
  <c r="P90" i="1"/>
  <c r="O90" i="1"/>
  <c r="Q90" i="1"/>
  <c r="P41" i="1"/>
  <c r="P1204" i="1"/>
  <c r="P284" i="1"/>
  <c r="Q41" i="1"/>
  <c r="P1472" i="1"/>
  <c r="P886" i="1"/>
  <c r="P629" i="1"/>
  <c r="O41" i="1"/>
  <c r="R41" i="1"/>
  <c r="P1444" i="1"/>
  <c r="P1144" i="1"/>
  <c r="P374" i="1"/>
  <c r="P31" i="1"/>
  <c r="P823" i="1"/>
  <c r="P563" i="1"/>
  <c r="P952" i="1"/>
  <c r="P694" i="1"/>
  <c r="P149" i="1"/>
  <c r="D1374" i="1"/>
  <c r="P1076" i="1"/>
  <c r="P369" i="1"/>
  <c r="P213" i="1"/>
  <c r="P86" i="1"/>
  <c r="P438" i="1"/>
  <c r="P1012" i="1"/>
  <c r="P758" i="1"/>
  <c r="K178" i="8" l="1"/>
  <c r="H13" i="1"/>
  <c r="F103" i="8" s="1"/>
  <c r="O1402" i="1"/>
  <c r="B527" i="8"/>
  <c r="R39" i="1"/>
  <c r="H201" i="1"/>
  <c r="F288" i="8" s="1"/>
  <c r="B288" i="8"/>
  <c r="O39" i="1"/>
  <c r="Q39" i="1"/>
  <c r="P39" i="1"/>
  <c r="D359" i="1"/>
  <c r="B374" i="8" s="1"/>
  <c r="B368" i="8"/>
  <c r="L178" i="8"/>
  <c r="M178" i="8"/>
  <c r="N178" i="8"/>
  <c r="K13" i="1"/>
  <c r="I103" i="8" s="1"/>
  <c r="J1311" i="1"/>
  <c r="F1314" i="1"/>
  <c r="F1313" i="1"/>
  <c r="H1313" i="1"/>
  <c r="D75" i="1"/>
  <c r="E74" i="1" s="1"/>
  <c r="S1363" i="1"/>
  <c r="S1319" i="1" s="1"/>
  <c r="H1311" i="1"/>
  <c r="J1313" i="1"/>
  <c r="T1363" i="1"/>
  <c r="T1319" i="1" s="1"/>
  <c r="P1363" i="1"/>
  <c r="P1319" i="1" s="1"/>
  <c r="Q1363" i="1"/>
  <c r="Q1319" i="1" s="1"/>
  <c r="L1313" i="1"/>
  <c r="E139" i="1"/>
  <c r="J1314" i="1"/>
  <c r="E135" i="1"/>
  <c r="E136" i="1"/>
  <c r="E137" i="1"/>
  <c r="E131" i="1"/>
  <c r="E134" i="1"/>
  <c r="E132" i="1"/>
  <c r="E133" i="1"/>
  <c r="E138" i="1"/>
  <c r="R1363" i="1"/>
  <c r="R1319" i="1" s="1"/>
  <c r="E262" i="1"/>
  <c r="E263" i="1"/>
  <c r="E264" i="1"/>
  <c r="E258" i="1"/>
  <c r="E265" i="1"/>
  <c r="E259" i="1"/>
  <c r="E260" i="1"/>
  <c r="E261" i="1"/>
  <c r="P1364" i="1"/>
  <c r="P1320" i="1" s="1"/>
  <c r="K201" i="1"/>
  <c r="I288" i="8" s="1"/>
  <c r="F1311" i="1"/>
  <c r="D1129" i="1"/>
  <c r="O220" i="1"/>
  <c r="D1257" i="1"/>
  <c r="H196" i="1"/>
  <c r="F283" i="8" s="1"/>
  <c r="K202" i="1"/>
  <c r="I289" i="8" s="1"/>
  <c r="H202" i="1"/>
  <c r="F289" i="8" s="1"/>
  <c r="Q221" i="1"/>
  <c r="O221" i="1"/>
  <c r="R221" i="1"/>
  <c r="P221" i="1"/>
  <c r="P220" i="1"/>
  <c r="Q220" i="1"/>
  <c r="R220" i="1"/>
  <c r="H131" i="1"/>
  <c r="D195" i="1"/>
  <c r="B282" i="8" s="1"/>
  <c r="S1364" i="1"/>
  <c r="S1320" i="1" s="1"/>
  <c r="H1314" i="1"/>
  <c r="R1364" i="1"/>
  <c r="R1320" i="1" s="1"/>
  <c r="Q1364" i="1"/>
  <c r="Q1320" i="1" s="1"/>
  <c r="T1364" i="1"/>
  <c r="T1320" i="1" s="1"/>
  <c r="D6" i="1" l="1"/>
  <c r="C156" i="8"/>
  <c r="C6" i="6"/>
  <c r="H1129" i="1"/>
  <c r="C14" i="6"/>
  <c r="C164" i="8"/>
  <c r="R1322" i="1"/>
  <c r="E70" i="1"/>
  <c r="E71" i="1"/>
  <c r="S1322" i="1"/>
  <c r="E68" i="1"/>
  <c r="E67" i="1"/>
  <c r="E73" i="1"/>
  <c r="E69" i="1"/>
  <c r="E75" i="1"/>
  <c r="E72" i="1"/>
  <c r="T1322" i="1"/>
  <c r="P1322" i="1"/>
  <c r="Q1322" i="1"/>
  <c r="D14" i="1"/>
  <c r="B104" i="8" s="1"/>
  <c r="D203" i="1"/>
  <c r="B290" i="8" s="1"/>
  <c r="B96" i="8" l="1"/>
  <c r="D21" i="1"/>
  <c r="B111" i="8" s="1"/>
  <c r="E202" i="1"/>
  <c r="C289" i="8" s="1"/>
  <c r="E196" i="1"/>
  <c r="C283" i="8" s="1"/>
  <c r="E199" i="1"/>
  <c r="C286" i="8" s="1"/>
  <c r="E200" i="1"/>
  <c r="C287" i="8" s="1"/>
  <c r="E195" i="1"/>
  <c r="C282" i="8" s="1"/>
  <c r="E197" i="1"/>
  <c r="C284" i="8" s="1"/>
  <c r="E198" i="1"/>
  <c r="C285" i="8" s="1"/>
  <c r="E201" i="1"/>
  <c r="C288" i="8" s="1"/>
  <c r="E203" i="1"/>
  <c r="C290" i="8" s="1"/>
  <c r="H14" i="1"/>
  <c r="F104" i="8" s="1"/>
  <c r="D22" i="1" l="1"/>
  <c r="B112" i="8" s="1"/>
  <c r="K96" i="6" l="1"/>
  <c r="I95" i="6"/>
  <c r="G95" i="6" l="1"/>
  <c r="I97" i="6" l="1"/>
  <c r="C50" i="7"/>
  <c r="C7" i="7"/>
  <c r="C47" i="6"/>
  <c r="M64" i="6" s="1"/>
  <c r="C4" i="6"/>
  <c r="M20" i="6" s="1"/>
  <c r="E96" i="6" l="1"/>
  <c r="G97" i="6"/>
  <c r="G96" i="6"/>
  <c r="I96" i="6"/>
  <c r="E97" i="6"/>
  <c r="C15" i="7"/>
  <c r="E18" i="7"/>
  <c r="D17" i="7"/>
  <c r="C12" i="7"/>
  <c r="C17" i="7"/>
  <c r="C18" i="7"/>
  <c r="C14" i="7"/>
  <c r="C16" i="7"/>
  <c r="D18" i="7"/>
  <c r="C11" i="7"/>
  <c r="C6" i="5"/>
  <c r="M30" i="6" l="1"/>
  <c r="O30" i="6"/>
  <c r="L30" i="6"/>
  <c r="N30" i="6"/>
  <c r="E16" i="7" l="1"/>
  <c r="C9" i="7" l="1"/>
  <c r="E15" i="7" l="1"/>
  <c r="D16" i="7" l="1"/>
  <c r="M28" i="6" l="1"/>
  <c r="L28" i="6"/>
  <c r="O28" i="6"/>
  <c r="N28" i="6"/>
  <c r="K97" i="6" l="1"/>
  <c r="H1156" i="1" l="1"/>
  <c r="D1188" i="1"/>
  <c r="L1156" i="1"/>
  <c r="D1194" i="1" l="1"/>
  <c r="H1188" i="1"/>
  <c r="H1194" i="1" l="1"/>
  <c r="D996" i="1" l="1"/>
  <c r="F996" i="1"/>
  <c r="L996" i="1" s="1"/>
  <c r="H996" i="1" l="1"/>
  <c r="D1286" i="1" l="1"/>
  <c r="F451" i="1" l="1"/>
  <c r="F516" i="1"/>
  <c r="L516" i="1" l="1"/>
  <c r="H516" i="1"/>
  <c r="F134" i="1"/>
  <c r="H451" i="1"/>
  <c r="L451" i="1"/>
  <c r="F133" i="1"/>
  <c r="K134" i="1" l="1"/>
  <c r="H134" i="1"/>
  <c r="P153" i="1"/>
  <c r="R153" i="1"/>
  <c r="F198" i="1"/>
  <c r="O153" i="1"/>
  <c r="Q153" i="1"/>
  <c r="K133" i="1"/>
  <c r="Q152" i="1"/>
  <c r="H133" i="1"/>
  <c r="P152" i="1"/>
  <c r="O152" i="1"/>
  <c r="R152" i="1"/>
  <c r="F139" i="1"/>
  <c r="D285" i="8" l="1"/>
  <c r="O217" i="1"/>
  <c r="K198" i="1"/>
  <c r="I285" i="8" s="1"/>
  <c r="P217" i="1"/>
  <c r="Q217" i="1"/>
  <c r="R217" i="1"/>
  <c r="H198" i="1"/>
  <c r="F285" i="8" s="1"/>
  <c r="G132" i="1"/>
  <c r="G133" i="1"/>
  <c r="G135" i="1"/>
  <c r="G136" i="1"/>
  <c r="G134" i="1"/>
  <c r="H139" i="1"/>
  <c r="G137" i="1"/>
  <c r="G131" i="1"/>
  <c r="G138" i="1"/>
  <c r="G139" i="1"/>
  <c r="D707" i="1" l="1"/>
  <c r="D738" i="1" s="1"/>
  <c r="D403" i="1"/>
  <c r="H403" i="1" s="1"/>
  <c r="J107" i="6"/>
  <c r="I662" i="8"/>
  <c r="I659" i="8"/>
  <c r="J104" i="6"/>
  <c r="D386" i="1"/>
  <c r="J450" i="1" l="1"/>
  <c r="J771" i="1"/>
  <c r="F899" i="1"/>
  <c r="F930" i="1" s="1"/>
  <c r="F40" i="2"/>
  <c r="E435" i="8" s="1"/>
  <c r="J643" i="1"/>
  <c r="J674" i="1" s="1"/>
  <c r="J680" i="1" s="1"/>
  <c r="F643" i="1"/>
  <c r="H643" i="1" s="1"/>
  <c r="J707" i="1"/>
  <c r="J515" i="1"/>
  <c r="J546" i="1" s="1"/>
  <c r="J552" i="1" s="1"/>
  <c r="F515" i="1"/>
  <c r="H515" i="1" s="1"/>
  <c r="J322" i="1"/>
  <c r="H337" i="8" s="1"/>
  <c r="F322" i="1"/>
  <c r="H322" i="1" s="1"/>
  <c r="F337" i="8" s="1"/>
  <c r="D417" i="1"/>
  <c r="D744" i="1"/>
  <c r="C13" i="7"/>
  <c r="J386" i="1"/>
  <c r="F450" i="1"/>
  <c r="F579" i="1"/>
  <c r="F707" i="1"/>
  <c r="J579" i="1"/>
  <c r="J610" i="1" s="1"/>
  <c r="J616" i="1" s="1"/>
  <c r="F386" i="1"/>
  <c r="H386" i="1" s="1"/>
  <c r="F771" i="1"/>
  <c r="H899" i="1" l="1"/>
  <c r="L899" i="1"/>
  <c r="F674" i="1"/>
  <c r="H674" i="1" s="1"/>
  <c r="F546" i="1"/>
  <c r="F552" i="1" s="1"/>
  <c r="L515" i="1"/>
  <c r="D337" i="8"/>
  <c r="L322" i="1"/>
  <c r="J337" i="8" s="1"/>
  <c r="L643" i="1"/>
  <c r="AA40" i="2"/>
  <c r="AA42" i="2" s="1"/>
  <c r="F50" i="2" s="1"/>
  <c r="E447" i="8" s="1"/>
  <c r="F936" i="1"/>
  <c r="L930" i="1"/>
  <c r="H930" i="1"/>
  <c r="D15" i="7"/>
  <c r="L450" i="1"/>
  <c r="H450" i="1"/>
  <c r="C10" i="6"/>
  <c r="C160" i="8"/>
  <c r="D10" i="1"/>
  <c r="L386" i="1"/>
  <c r="D423" i="1"/>
  <c r="C10" i="7"/>
  <c r="F610" i="1"/>
  <c r="H579" i="1"/>
  <c r="L579" i="1"/>
  <c r="L771" i="1"/>
  <c r="H771" i="1"/>
  <c r="L707" i="1"/>
  <c r="H707" i="1"/>
  <c r="E12" i="7"/>
  <c r="E9" i="6"/>
  <c r="I159" i="8"/>
  <c r="I9" i="1"/>
  <c r="D12" i="7" l="1"/>
  <c r="L674" i="1"/>
  <c r="F680" i="1"/>
  <c r="L680" i="1" s="1"/>
  <c r="L546" i="1"/>
  <c r="H546" i="1"/>
  <c r="H680" i="1"/>
  <c r="C19" i="7"/>
  <c r="C7" i="6"/>
  <c r="C157" i="8"/>
  <c r="D7" i="1"/>
  <c r="R564" i="1"/>
  <c r="H552" i="1"/>
  <c r="P564" i="1"/>
  <c r="Q564" i="1"/>
  <c r="L552" i="1"/>
  <c r="B100" i="8"/>
  <c r="G99" i="8"/>
  <c r="F616" i="1"/>
  <c r="L610" i="1"/>
  <c r="H610" i="1"/>
  <c r="D12" i="6"/>
  <c r="F162" i="8"/>
  <c r="L936" i="1"/>
  <c r="H936" i="1"/>
  <c r="R953" i="1"/>
  <c r="Q953" i="1"/>
  <c r="F12" i="1"/>
  <c r="P953" i="1"/>
  <c r="P695" i="1" l="1"/>
  <c r="D9" i="6"/>
  <c r="M24" i="6" s="1"/>
  <c r="R695" i="1"/>
  <c r="Q695" i="1"/>
  <c r="J466" i="1"/>
  <c r="L466" i="1" s="1"/>
  <c r="B97" i="8"/>
  <c r="D16" i="1"/>
  <c r="F9" i="1"/>
  <c r="L27" i="6"/>
  <c r="N27" i="6"/>
  <c r="M27" i="6"/>
  <c r="O27" i="6"/>
  <c r="K177" i="8"/>
  <c r="L177" i="8"/>
  <c r="N177" i="8"/>
  <c r="M177" i="8"/>
  <c r="L616" i="1"/>
  <c r="H616" i="1"/>
  <c r="P630" i="1"/>
  <c r="R630" i="1"/>
  <c r="Q630" i="1"/>
  <c r="D102" i="8"/>
  <c r="H12" i="1"/>
  <c r="F102" i="8" s="1"/>
  <c r="O38" i="1"/>
  <c r="P38" i="1"/>
  <c r="Q38" i="1"/>
  <c r="R38" i="1"/>
  <c r="K12" i="1"/>
  <c r="I102" i="8" s="1"/>
  <c r="F159" i="8"/>
  <c r="O24" i="6" l="1"/>
  <c r="L24" i="6"/>
  <c r="N24" i="6"/>
  <c r="J385" i="1"/>
  <c r="J417" i="1" s="1"/>
  <c r="B106" i="8"/>
  <c r="E11" i="1"/>
  <c r="C101" i="8" s="1"/>
  <c r="E6" i="1"/>
  <c r="C96" i="8" s="1"/>
  <c r="E14" i="1"/>
  <c r="C104" i="8" s="1"/>
  <c r="E7" i="1"/>
  <c r="C97" i="8" s="1"/>
  <c r="E16" i="1"/>
  <c r="C106" i="8" s="1"/>
  <c r="E10" i="1"/>
  <c r="C100" i="8" s="1"/>
  <c r="C166" i="8"/>
  <c r="E21" i="1"/>
  <c r="C111" i="8" s="1"/>
  <c r="C16" i="6"/>
  <c r="E8" i="1"/>
  <c r="C98" i="8" s="1"/>
  <c r="E9" i="1"/>
  <c r="C99" i="8" s="1"/>
  <c r="E12" i="1"/>
  <c r="C102" i="8" s="1"/>
  <c r="E13" i="1"/>
  <c r="C103" i="8" s="1"/>
  <c r="E15" i="1"/>
  <c r="C105" i="8" s="1"/>
  <c r="K174" i="8"/>
  <c r="L174" i="8"/>
  <c r="N174" i="8"/>
  <c r="M174" i="8"/>
  <c r="Q35" i="1"/>
  <c r="R35" i="1"/>
  <c r="H9" i="1"/>
  <c r="F99" i="8" s="1"/>
  <c r="O35" i="1"/>
  <c r="P35" i="1"/>
  <c r="D99" i="8"/>
  <c r="K9" i="1"/>
  <c r="I99" i="8" s="1"/>
  <c r="L385" i="1" l="1"/>
  <c r="I68" i="1"/>
  <c r="P88" i="1" s="1"/>
  <c r="J423" i="1"/>
  <c r="E10" i="7"/>
  <c r="Q88" i="1" l="1"/>
  <c r="R88" i="1"/>
  <c r="I196" i="1"/>
  <c r="P215" i="1" s="1"/>
  <c r="K68" i="1"/>
  <c r="O88" i="1"/>
  <c r="I157" i="8"/>
  <c r="E7" i="6"/>
  <c r="I7" i="1"/>
  <c r="K196" i="1" l="1"/>
  <c r="I283" i="8" s="1"/>
  <c r="G283" i="8"/>
  <c r="O215" i="1"/>
  <c r="R215" i="1"/>
  <c r="Q215" i="1"/>
  <c r="G97" i="8"/>
  <c r="F325" i="1" l="1"/>
  <c r="D340" i="8" s="1"/>
  <c r="F389" i="1"/>
  <c r="L389" i="1" s="1"/>
  <c r="L325" i="1" l="1"/>
  <c r="J340" i="8" s="1"/>
  <c r="H325" i="1"/>
  <c r="F340" i="8" s="1"/>
  <c r="F417" i="1"/>
  <c r="F423" i="1" s="1"/>
  <c r="H389" i="1"/>
  <c r="J785" i="1"/>
  <c r="I263" i="1" s="1"/>
  <c r="I266" i="1" s="1"/>
  <c r="P304" i="1" s="1"/>
  <c r="H417" i="1" l="1"/>
  <c r="D10" i="7"/>
  <c r="L417" i="1"/>
  <c r="J259" i="1"/>
  <c r="P299" i="1" s="1"/>
  <c r="O299" i="1" s="1"/>
  <c r="Q299" i="1" s="1"/>
  <c r="J260" i="1"/>
  <c r="P300" i="1" s="1"/>
  <c r="O304" i="1"/>
  <c r="Q304" i="1" s="1"/>
  <c r="J262" i="1"/>
  <c r="P302" i="1" s="1"/>
  <c r="J266" i="1"/>
  <c r="J265" i="1"/>
  <c r="P305" i="1" s="1"/>
  <c r="O305" i="1" s="1"/>
  <c r="Q305" i="1" s="1"/>
  <c r="J264" i="1"/>
  <c r="O300" i="1"/>
  <c r="Q300" i="1" s="1"/>
  <c r="J261" i="1"/>
  <c r="P301" i="1" s="1"/>
  <c r="O301" i="1" s="1"/>
  <c r="Q301" i="1" s="1"/>
  <c r="O302" i="1"/>
  <c r="Q302" i="1" s="1"/>
  <c r="F785" i="1"/>
  <c r="L785" i="1" s="1"/>
  <c r="J258" i="1"/>
  <c r="P298" i="1" s="1"/>
  <c r="O298" i="1" s="1"/>
  <c r="Q298" i="1" s="1"/>
  <c r="J263" i="1"/>
  <c r="P303" i="1" s="1"/>
  <c r="O303" i="1" s="1"/>
  <c r="Q303" i="1" s="1"/>
  <c r="F157" i="8"/>
  <c r="D7" i="6"/>
  <c r="L423" i="1"/>
  <c r="F7" i="1"/>
  <c r="H423" i="1"/>
  <c r="R439" i="1"/>
  <c r="P439" i="1"/>
  <c r="Q439" i="1"/>
  <c r="H785" i="1" l="1"/>
  <c r="F263" i="1"/>
  <c r="Q290" i="1" s="1"/>
  <c r="F713" i="1"/>
  <c r="O22" i="6"/>
  <c r="M22" i="6"/>
  <c r="N22" i="6"/>
  <c r="L22" i="6"/>
  <c r="J713" i="1"/>
  <c r="L172" i="8"/>
  <c r="K172" i="8"/>
  <c r="N172" i="8"/>
  <c r="M172" i="8"/>
  <c r="D97" i="8"/>
  <c r="K7" i="1"/>
  <c r="I97" i="8" s="1"/>
  <c r="R33" i="1"/>
  <c r="H7" i="1"/>
  <c r="F97" i="8" s="1"/>
  <c r="O33" i="1"/>
  <c r="Q33" i="1"/>
  <c r="P33" i="1"/>
  <c r="J1158" i="1"/>
  <c r="P290" i="1" l="1"/>
  <c r="K263" i="1"/>
  <c r="R290" i="1"/>
  <c r="F266" i="1"/>
  <c r="G263" i="1" s="1"/>
  <c r="H263" i="1"/>
  <c r="O290" i="1"/>
  <c r="K1311" i="1"/>
  <c r="Q1330" i="1" s="1"/>
  <c r="Q1318" i="1" s="1"/>
  <c r="J449" i="1"/>
  <c r="J481" i="1" s="1"/>
  <c r="F770" i="1"/>
  <c r="H770" i="1" s="1"/>
  <c r="J770" i="1"/>
  <c r="J802" i="1" s="1"/>
  <c r="L1158" i="1"/>
  <c r="J321" i="1"/>
  <c r="I67" i="1" s="1"/>
  <c r="J706" i="1"/>
  <c r="H713" i="1"/>
  <c r="L713" i="1"/>
  <c r="H266" i="1" l="1"/>
  <c r="G261" i="1"/>
  <c r="G259" i="1"/>
  <c r="G265" i="1"/>
  <c r="G264" i="1"/>
  <c r="G260" i="1"/>
  <c r="G266" i="1"/>
  <c r="G258" i="1"/>
  <c r="K266" i="1"/>
  <c r="G262" i="1"/>
  <c r="F72" i="1"/>
  <c r="F200" i="1" s="1"/>
  <c r="S1330" i="1"/>
  <c r="S1318" i="1" s="1"/>
  <c r="I69" i="1"/>
  <c r="I197" i="1" s="1"/>
  <c r="G284" i="8" s="1"/>
  <c r="F449" i="1"/>
  <c r="F481" i="1" s="1"/>
  <c r="H336" i="8"/>
  <c r="R1330" i="1"/>
  <c r="R1318" i="1" s="1"/>
  <c r="I72" i="1"/>
  <c r="I200" i="1" s="1"/>
  <c r="G287" i="8" s="1"/>
  <c r="L1311" i="1"/>
  <c r="I464" i="8"/>
  <c r="J464" i="8" s="1"/>
  <c r="F802" i="1"/>
  <c r="F808" i="1" s="1"/>
  <c r="J95" i="6"/>
  <c r="K95" i="6" s="1"/>
  <c r="T1330" i="1"/>
  <c r="T1318" i="1" s="1"/>
  <c r="L770" i="1"/>
  <c r="P1330" i="1"/>
  <c r="P1318" i="1" s="1"/>
  <c r="J738" i="1"/>
  <c r="I71" i="1"/>
  <c r="I199" i="1" s="1"/>
  <c r="F321" i="1"/>
  <c r="F706" i="1"/>
  <c r="J487" i="1"/>
  <c r="E11" i="7"/>
  <c r="J808" i="1"/>
  <c r="E14" i="7"/>
  <c r="H72" i="1"/>
  <c r="L802" i="1" l="1"/>
  <c r="L449" i="1"/>
  <c r="H449" i="1"/>
  <c r="F69" i="1"/>
  <c r="K69" i="1" s="1"/>
  <c r="D14" i="7"/>
  <c r="H802" i="1"/>
  <c r="R92" i="1"/>
  <c r="O92" i="1"/>
  <c r="Q92" i="1"/>
  <c r="K72" i="1"/>
  <c r="I75" i="1"/>
  <c r="J67" i="1" s="1"/>
  <c r="P107" i="1" s="1"/>
  <c r="O107" i="1" s="1"/>
  <c r="Q107" i="1" s="1"/>
  <c r="F344" i="1"/>
  <c r="L344" i="1" s="1"/>
  <c r="J359" i="8" s="1"/>
  <c r="P92" i="1"/>
  <c r="H706" i="1"/>
  <c r="L706" i="1"/>
  <c r="F738" i="1"/>
  <c r="F71" i="1"/>
  <c r="D11" i="7"/>
  <c r="H481" i="1"/>
  <c r="L481" i="1"/>
  <c r="F487" i="1"/>
  <c r="E11" i="6"/>
  <c r="I161" i="8"/>
  <c r="I11" i="1"/>
  <c r="E8" i="6"/>
  <c r="I158" i="8"/>
  <c r="I8" i="1"/>
  <c r="D336" i="8"/>
  <c r="F67" i="1"/>
  <c r="H321" i="1"/>
  <c r="F336" i="8" s="1"/>
  <c r="L321" i="1"/>
  <c r="J336" i="8" s="1"/>
  <c r="Q375" i="1"/>
  <c r="R375" i="1"/>
  <c r="P375" i="1"/>
  <c r="G286" i="8"/>
  <c r="D287" i="8"/>
  <c r="K200" i="1"/>
  <c r="I287" i="8" s="1"/>
  <c r="H200" i="1"/>
  <c r="F287" i="8" s="1"/>
  <c r="R219" i="1"/>
  <c r="Q219" i="1"/>
  <c r="P219" i="1"/>
  <c r="O219" i="1"/>
  <c r="H808" i="1"/>
  <c r="D11" i="6"/>
  <c r="L808" i="1"/>
  <c r="F161" i="8"/>
  <c r="R824" i="1"/>
  <c r="Q824" i="1"/>
  <c r="P824" i="1"/>
  <c r="F11" i="1"/>
  <c r="J744" i="1"/>
  <c r="E13" i="7"/>
  <c r="O89" i="1" l="1"/>
  <c r="R89" i="1"/>
  <c r="F197" i="1"/>
  <c r="O216" i="1" s="1"/>
  <c r="Q89" i="1"/>
  <c r="J74" i="1"/>
  <c r="O114" i="1" s="1"/>
  <c r="Q114" i="1" s="1"/>
  <c r="H69" i="1"/>
  <c r="P89" i="1"/>
  <c r="J73" i="1"/>
  <c r="J68" i="1"/>
  <c r="P108" i="1" s="1"/>
  <c r="O108" i="1" s="1"/>
  <c r="Q108" i="1" s="1"/>
  <c r="J72" i="1"/>
  <c r="P112" i="1" s="1"/>
  <c r="O112" i="1" s="1"/>
  <c r="Q112" i="1" s="1"/>
  <c r="J70" i="1"/>
  <c r="P110" i="1" s="1"/>
  <c r="O110" i="1" s="1"/>
  <c r="Q110" i="1" s="1"/>
  <c r="J71" i="1"/>
  <c r="P111" i="1" s="1"/>
  <c r="O111" i="1" s="1"/>
  <c r="Q111" i="1" s="1"/>
  <c r="F353" i="1"/>
  <c r="D9" i="7" s="1"/>
  <c r="D359" i="8"/>
  <c r="H344" i="1"/>
  <c r="F359" i="8" s="1"/>
  <c r="J69" i="1"/>
  <c r="P109" i="1" s="1"/>
  <c r="O109" i="1" s="1"/>
  <c r="Q109" i="1" s="1"/>
  <c r="O113" i="1"/>
  <c r="Q113" i="1" s="1"/>
  <c r="P113" i="1"/>
  <c r="P114" i="1"/>
  <c r="J75" i="1"/>
  <c r="J323" i="1"/>
  <c r="L323" i="1" s="1"/>
  <c r="J338" i="8" s="1"/>
  <c r="H67" i="1"/>
  <c r="F195" i="1"/>
  <c r="K67" i="1"/>
  <c r="P87" i="1"/>
  <c r="O87" i="1"/>
  <c r="Q87" i="1"/>
  <c r="R87" i="1"/>
  <c r="F75" i="1"/>
  <c r="G75" i="1" s="1"/>
  <c r="G101" i="8"/>
  <c r="Q91" i="1"/>
  <c r="H71" i="1"/>
  <c r="R91" i="1"/>
  <c r="P91" i="1"/>
  <c r="K71" i="1"/>
  <c r="F199" i="1"/>
  <c r="O91" i="1"/>
  <c r="M176" i="8"/>
  <c r="N176" i="8"/>
  <c r="K176" i="8"/>
  <c r="L176" i="8"/>
  <c r="H197" i="1"/>
  <c r="F284" i="8" s="1"/>
  <c r="F744" i="1"/>
  <c r="L738" i="1"/>
  <c r="D13" i="7"/>
  <c r="H738" i="1"/>
  <c r="E10" i="6"/>
  <c r="I160" i="8"/>
  <c r="I10" i="1"/>
  <c r="R500" i="1"/>
  <c r="P500" i="1"/>
  <c r="L487" i="1"/>
  <c r="D8" i="6"/>
  <c r="F158" i="8"/>
  <c r="H487" i="1"/>
  <c r="Q500" i="1"/>
  <c r="F8" i="1"/>
  <c r="O26" i="6"/>
  <c r="N26" i="6"/>
  <c r="M26" i="6"/>
  <c r="L26" i="6"/>
  <c r="D101" i="8"/>
  <c r="R37" i="1"/>
  <c r="O37" i="1"/>
  <c r="P37" i="1"/>
  <c r="H11" i="1"/>
  <c r="F101" i="8" s="1"/>
  <c r="K11" i="1"/>
  <c r="I101" i="8" s="1"/>
  <c r="Q37" i="1"/>
  <c r="G98" i="8"/>
  <c r="D284" i="8" l="1"/>
  <c r="Q216" i="1"/>
  <c r="P216" i="1"/>
  <c r="K197" i="1"/>
  <c r="I284" i="8" s="1"/>
  <c r="R216" i="1"/>
  <c r="P376" i="1"/>
  <c r="Q376" i="1"/>
  <c r="H353" i="1"/>
  <c r="F368" i="8" s="1"/>
  <c r="D368" i="8"/>
  <c r="F359" i="1"/>
  <c r="F6" i="1" s="1"/>
  <c r="H338" i="8"/>
  <c r="I131" i="1"/>
  <c r="R150" i="1" s="1"/>
  <c r="J353" i="1"/>
  <c r="E9" i="7" s="1"/>
  <c r="R376" i="1"/>
  <c r="G100" i="8"/>
  <c r="D98" i="8"/>
  <c r="R34" i="1"/>
  <c r="Q34" i="1"/>
  <c r="P34" i="1"/>
  <c r="O34" i="1"/>
  <c r="H8" i="1"/>
  <c r="F98" i="8" s="1"/>
  <c r="K8" i="1"/>
  <c r="I98" i="8" s="1"/>
  <c r="D19" i="7"/>
  <c r="K173" i="8"/>
  <c r="L173" i="8"/>
  <c r="N173" i="8"/>
  <c r="M173" i="8"/>
  <c r="D286" i="8"/>
  <c r="P218" i="1"/>
  <c r="Q218" i="1"/>
  <c r="R218" i="1"/>
  <c r="H199" i="1"/>
  <c r="F286" i="8" s="1"/>
  <c r="O218" i="1"/>
  <c r="K199" i="1"/>
  <c r="I286" i="8" s="1"/>
  <c r="D282" i="8"/>
  <c r="H195" i="1"/>
  <c r="F282" i="8" s="1"/>
  <c r="F203" i="1"/>
  <c r="O23" i="6"/>
  <c r="L23" i="6"/>
  <c r="M23" i="6"/>
  <c r="N23" i="6"/>
  <c r="D10" i="6"/>
  <c r="F160" i="8"/>
  <c r="L744" i="1"/>
  <c r="F10" i="1"/>
  <c r="Q759" i="1"/>
  <c r="H744" i="1"/>
  <c r="P759" i="1"/>
  <c r="R759" i="1"/>
  <c r="G71" i="1"/>
  <c r="G73" i="1"/>
  <c r="H75" i="1"/>
  <c r="G74" i="1"/>
  <c r="G69" i="1"/>
  <c r="G70" i="1"/>
  <c r="K75" i="1"/>
  <c r="G72" i="1"/>
  <c r="G67" i="1"/>
  <c r="G68" i="1"/>
  <c r="Q150" i="1" l="1"/>
  <c r="D6" i="6"/>
  <c r="H368" i="8"/>
  <c r="D374" i="8"/>
  <c r="F156" i="8"/>
  <c r="H359" i="1"/>
  <c r="F374" i="8" s="1"/>
  <c r="L353" i="1"/>
  <c r="J368" i="8" s="1"/>
  <c r="O150" i="1"/>
  <c r="J359" i="1"/>
  <c r="P370" i="1" s="1"/>
  <c r="P150" i="1"/>
  <c r="K131" i="1"/>
  <c r="I139" i="1"/>
  <c r="J135" i="1" s="1"/>
  <c r="P178" i="1" s="1"/>
  <c r="O178" i="1" s="1"/>
  <c r="Q178" i="1" s="1"/>
  <c r="I195" i="1"/>
  <c r="O214" i="1" s="1"/>
  <c r="F21" i="1"/>
  <c r="H6" i="1"/>
  <c r="F96" i="8" s="1"/>
  <c r="D96" i="8"/>
  <c r="F16" i="1"/>
  <c r="G201" i="1"/>
  <c r="E288" i="8" s="1"/>
  <c r="G202" i="1"/>
  <c r="E289" i="8" s="1"/>
  <c r="G195" i="1"/>
  <c r="E282" i="8" s="1"/>
  <c r="G198" i="1"/>
  <c r="E285" i="8" s="1"/>
  <c r="G197" i="1"/>
  <c r="E284" i="8" s="1"/>
  <c r="D290" i="8"/>
  <c r="G200" i="1"/>
  <c r="E287" i="8" s="1"/>
  <c r="G199" i="1"/>
  <c r="E286" i="8" s="1"/>
  <c r="H203" i="1"/>
  <c r="F290" i="8" s="1"/>
  <c r="G196" i="1"/>
  <c r="E283" i="8" s="1"/>
  <c r="D100" i="8"/>
  <c r="K10" i="1"/>
  <c r="I100" i="8" s="1"/>
  <c r="O36" i="1"/>
  <c r="H10" i="1"/>
  <c r="F100" i="8" s="1"/>
  <c r="R36" i="1"/>
  <c r="P36" i="1"/>
  <c r="Q36" i="1"/>
  <c r="K175" i="8"/>
  <c r="N175" i="8"/>
  <c r="L175" i="8"/>
  <c r="M175" i="8"/>
  <c r="G203" i="1"/>
  <c r="E290" i="8" s="1"/>
  <c r="O25" i="6"/>
  <c r="L25" i="6"/>
  <c r="N25" i="6"/>
  <c r="M25" i="6"/>
  <c r="I6" i="1" l="1"/>
  <c r="O32" i="1" s="1"/>
  <c r="H374" i="8"/>
  <c r="I156" i="8"/>
  <c r="M171" i="8" s="1"/>
  <c r="L359" i="1"/>
  <c r="J374" i="8" s="1"/>
  <c r="E6" i="6"/>
  <c r="L21" i="6" s="1"/>
  <c r="R370" i="1"/>
  <c r="Q370" i="1"/>
  <c r="G282" i="8"/>
  <c r="O175" i="1"/>
  <c r="Q175" i="1" s="1"/>
  <c r="J133" i="1"/>
  <c r="P176" i="1" s="1"/>
  <c r="J137" i="1"/>
  <c r="J132" i="1"/>
  <c r="P175" i="1" s="1"/>
  <c r="P180" i="1"/>
  <c r="R214" i="1"/>
  <c r="I203" i="1"/>
  <c r="K203" i="1" s="1"/>
  <c r="I290" i="8" s="1"/>
  <c r="J134" i="1"/>
  <c r="P177" i="1" s="1"/>
  <c r="O177" i="1" s="1"/>
  <c r="Q177" i="1" s="1"/>
  <c r="Q214" i="1"/>
  <c r="P214" i="1"/>
  <c r="K195" i="1"/>
  <c r="I282" i="8" s="1"/>
  <c r="K139" i="1"/>
  <c r="O180" i="1"/>
  <c r="Q180" i="1" s="1"/>
  <c r="J136" i="1"/>
  <c r="P179" i="1" s="1"/>
  <c r="O179" i="1" s="1"/>
  <c r="Q179" i="1" s="1"/>
  <c r="J138" i="1"/>
  <c r="P181" i="1" s="1"/>
  <c r="O181" i="1" s="1"/>
  <c r="Q181" i="1" s="1"/>
  <c r="J139" i="1"/>
  <c r="J131" i="1"/>
  <c r="P174" i="1" s="1"/>
  <c r="O174" i="1" s="1"/>
  <c r="Q174" i="1" s="1"/>
  <c r="K6" i="1"/>
  <c r="I96" i="8" s="1"/>
  <c r="G10" i="1"/>
  <c r="E100" i="8" s="1"/>
  <c r="G15" i="1"/>
  <c r="E105" i="8" s="1"/>
  <c r="G11" i="1"/>
  <c r="E101" i="8" s="1"/>
  <c r="G13" i="1"/>
  <c r="E103" i="8" s="1"/>
  <c r="G14" i="1"/>
  <c r="E104" i="8" s="1"/>
  <c r="G8" i="1"/>
  <c r="E98" i="8" s="1"/>
  <c r="D106" i="8"/>
  <c r="D16" i="6"/>
  <c r="G21" i="1"/>
  <c r="G7" i="1"/>
  <c r="E97" i="8" s="1"/>
  <c r="G6" i="1"/>
  <c r="E96" i="8" s="1"/>
  <c r="G12" i="1"/>
  <c r="E102" i="8" s="1"/>
  <c r="G9" i="1"/>
  <c r="E99" i="8" s="1"/>
  <c r="F166" i="8"/>
  <c r="H16" i="1"/>
  <c r="F106" i="8" s="1"/>
  <c r="G16" i="1"/>
  <c r="E106" i="8" s="1"/>
  <c r="L171" i="8"/>
  <c r="D111" i="8"/>
  <c r="F22" i="1"/>
  <c r="D112" i="8" s="1"/>
  <c r="K171" i="8" l="1"/>
  <c r="P32" i="1"/>
  <c r="Q32" i="1"/>
  <c r="R32" i="1"/>
  <c r="G96" i="8"/>
  <c r="I21" i="1"/>
  <c r="I22" i="1" s="1"/>
  <c r="G112" i="8" s="1"/>
  <c r="O21" i="6"/>
  <c r="N21" i="6"/>
  <c r="M21" i="6"/>
  <c r="N171" i="8"/>
  <c r="J197" i="1"/>
  <c r="H284" i="8" s="1"/>
  <c r="J200" i="1"/>
  <c r="H287" i="8" s="1"/>
  <c r="J202" i="1"/>
  <c r="H289" i="8" s="1"/>
  <c r="G290" i="8"/>
  <c r="J199" i="1"/>
  <c r="H286" i="8" s="1"/>
  <c r="J201" i="1"/>
  <c r="H288" i="8" s="1"/>
  <c r="J203" i="1"/>
  <c r="H290" i="8" s="1"/>
  <c r="J195" i="1"/>
  <c r="H282" i="8" s="1"/>
  <c r="P238" i="1"/>
  <c r="J196" i="1"/>
  <c r="H283" i="8" s="1"/>
  <c r="O238" i="1"/>
  <c r="Q238" i="1" s="1"/>
  <c r="P239" i="1"/>
  <c r="J198" i="1"/>
  <c r="H285" i="8" s="1"/>
  <c r="O176" i="1"/>
  <c r="Q176" i="1" s="1"/>
  <c r="O239" i="1"/>
  <c r="Q239" i="1" s="1"/>
  <c r="E111" i="8"/>
  <c r="H21" i="1"/>
  <c r="F111" i="8" s="1"/>
  <c r="P237" i="1" l="1"/>
  <c r="O237" i="1" s="1"/>
  <c r="Q237" i="1" s="1"/>
  <c r="G111" i="8"/>
  <c r="P235" i="1"/>
  <c r="O235" i="1" s="1"/>
  <c r="Q235" i="1" s="1"/>
  <c r="P233" i="1"/>
  <c r="O233" i="1" s="1"/>
  <c r="Q233" i="1" s="1"/>
  <c r="P236" i="1"/>
  <c r="O236" i="1" s="1"/>
  <c r="Q236" i="1" s="1"/>
  <c r="P234" i="1"/>
  <c r="O234" i="1" s="1"/>
  <c r="Q234" i="1" s="1"/>
  <c r="P232" i="1"/>
  <c r="O232" i="1" s="1"/>
  <c r="Q232" i="1" s="1"/>
  <c r="F1061" i="1" l="1"/>
  <c r="L1061" i="1" s="1"/>
  <c r="D676" i="1" l="1"/>
  <c r="H676" i="1" s="1"/>
  <c r="A25" i="8" l="1"/>
  <c r="A1" i="3"/>
  <c r="F35" i="2" l="1"/>
  <c r="E430" i="8" s="1"/>
  <c r="K1312" i="1" l="1"/>
  <c r="J1189" i="1" l="1"/>
  <c r="J611" i="1"/>
  <c r="J612" i="1" s="1"/>
  <c r="J867" i="1"/>
  <c r="J868" i="1" s="1"/>
  <c r="J482" i="1"/>
  <c r="J483" i="1" s="1"/>
  <c r="I204" i="1"/>
  <c r="G291" i="8" s="1"/>
  <c r="J931" i="1"/>
  <c r="J932" i="1" s="1"/>
  <c r="J1124" i="1"/>
  <c r="J995" i="1"/>
  <c r="J996" i="1" s="1"/>
  <c r="J739" i="1"/>
  <c r="J740" i="1" s="1"/>
  <c r="K1252" i="1"/>
  <c r="I140" i="1"/>
  <c r="J354" i="1"/>
  <c r="J355" i="1" s="1"/>
  <c r="H370" i="8" s="1"/>
  <c r="J1060" i="1"/>
  <c r="J1061" i="1" s="1"/>
  <c r="J675" i="1"/>
  <c r="J676" i="1" s="1"/>
  <c r="J418" i="1"/>
  <c r="J419" i="1" s="1"/>
  <c r="J803" i="1"/>
  <c r="J804" i="1" s="1"/>
  <c r="J547" i="1"/>
  <c r="J548" i="1" s="1"/>
  <c r="I76" i="1"/>
  <c r="I267" i="1"/>
  <c r="U1141" i="1"/>
  <c r="E63" i="7" l="1"/>
  <c r="E60" i="6"/>
  <c r="J229" i="8"/>
  <c r="I229" i="8"/>
  <c r="H369" i="8"/>
  <c r="I223" i="8" l="1"/>
  <c r="I219" i="8"/>
  <c r="I225" i="8"/>
  <c r="I220" i="8"/>
  <c r="I218" i="8"/>
  <c r="I221" i="8"/>
  <c r="I222" i="8"/>
  <c r="I224" i="8"/>
  <c r="I227" i="8"/>
  <c r="E55" i="6"/>
  <c r="E53" i="6"/>
  <c r="E50" i="6"/>
  <c r="E54" i="6"/>
  <c r="E58" i="6"/>
  <c r="E49" i="6"/>
  <c r="E56" i="6"/>
  <c r="E52" i="6"/>
  <c r="E51" i="6"/>
  <c r="E56" i="7"/>
  <c r="E53" i="7"/>
  <c r="E57" i="7"/>
  <c r="E54" i="7"/>
  <c r="E58" i="7"/>
  <c r="E59" i="7"/>
  <c r="E52" i="7"/>
  <c r="E61" i="7"/>
  <c r="E55" i="7"/>
  <c r="G1283" i="1" l="1"/>
  <c r="G1218" i="1"/>
  <c r="Q1269" i="1" s="1"/>
  <c r="K1218" i="1"/>
  <c r="R1269" i="1" s="1"/>
  <c r="K1283" i="1"/>
  <c r="AG20" i="2" l="1"/>
  <c r="Z7" i="2" l="1"/>
  <c r="AG7" i="2"/>
  <c r="E1312" i="1" l="1"/>
  <c r="I1312" i="1"/>
  <c r="G1312" i="1"/>
  <c r="D1312" i="1"/>
  <c r="D1438" i="1"/>
  <c r="G1438" i="1"/>
  <c r="E594" i="8" s="1"/>
  <c r="D1309" i="1"/>
  <c r="B1394" i="1"/>
  <c r="B1395" i="1"/>
  <c r="E16" i="2"/>
  <c r="D411" i="8" s="1"/>
  <c r="H15" i="2"/>
  <c r="G410" i="8" s="1"/>
  <c r="AC15" i="2"/>
  <c r="AJ15" i="2"/>
  <c r="J1177" i="1"/>
  <c r="J1188" i="1" s="1"/>
  <c r="L1188" i="1" s="1"/>
  <c r="Z24" i="2"/>
  <c r="AC20" i="2"/>
  <c r="H8" i="2"/>
  <c r="AC32" i="2"/>
  <c r="H22" i="2"/>
  <c r="G417" i="8" s="1"/>
  <c r="H16" i="2"/>
  <c r="G411" i="8" s="1"/>
  <c r="H19" i="2"/>
  <c r="G414" i="8" s="1"/>
  <c r="AJ26" i="2"/>
  <c r="AJ8" i="2"/>
  <c r="AC8" i="2"/>
  <c r="AJ32" i="2"/>
  <c r="F34" i="2"/>
  <c r="E429" i="8" s="1"/>
  <c r="AC26" i="2"/>
  <c r="Z31" i="2"/>
  <c r="Z21" i="2"/>
  <c r="H23" i="2"/>
  <c r="G418" i="8" s="1"/>
  <c r="H13" i="2" l="1"/>
  <c r="G408" i="8" s="1"/>
  <c r="AC10" i="2"/>
  <c r="AJ23" i="2"/>
  <c r="H25" i="2"/>
  <c r="G420" i="8" s="1"/>
  <c r="AC12" i="2"/>
  <c r="H20" i="2"/>
  <c r="G415" i="8" s="1"/>
  <c r="AJ13" i="2"/>
  <c r="AJ10" i="2"/>
  <c r="AC21" i="2"/>
  <c r="AC28" i="2"/>
  <c r="D1391" i="1"/>
  <c r="C23" i="5"/>
  <c r="J660" i="8"/>
  <c r="K105" i="6"/>
  <c r="AJ11" i="2"/>
  <c r="AJ28" i="2"/>
  <c r="AJ21" i="2"/>
  <c r="AJ14" i="2"/>
  <c r="AC24" i="2"/>
  <c r="AC11" i="2"/>
  <c r="H24" i="2"/>
  <c r="G419" i="8" s="1"/>
  <c r="AJ20" i="2"/>
  <c r="G1391" i="1"/>
  <c r="E23" i="5"/>
  <c r="D1386" i="1"/>
  <c r="B539" i="8" s="1"/>
  <c r="C18" i="5"/>
  <c r="G1392" i="1"/>
  <c r="E545" i="8" s="1"/>
  <c r="E24" i="5"/>
  <c r="F102" i="6"/>
  <c r="N103" i="6" s="1"/>
  <c r="E657" i="8"/>
  <c r="M658" i="8" s="1"/>
  <c r="R1142" i="1"/>
  <c r="H1312" i="1"/>
  <c r="C25" i="5"/>
  <c r="D1393" i="1"/>
  <c r="B546" i="8" s="1"/>
  <c r="J1194" i="1"/>
  <c r="L1194" i="1" s="1"/>
  <c r="J1190" i="1"/>
  <c r="A548" i="8"/>
  <c r="A28" i="5"/>
  <c r="B1119" i="1"/>
  <c r="B35" i="2"/>
  <c r="P1445" i="1"/>
  <c r="R1445" i="1"/>
  <c r="Q1445" i="1"/>
  <c r="B594" i="8"/>
  <c r="D661" i="8"/>
  <c r="E106" i="6"/>
  <c r="E8" i="5"/>
  <c r="G1376" i="1"/>
  <c r="H106" i="6"/>
  <c r="G661" i="8"/>
  <c r="AJ24" i="2"/>
  <c r="H9" i="2"/>
  <c r="G404" i="8" s="1"/>
  <c r="H18" i="2"/>
  <c r="G413" i="8" s="1"/>
  <c r="AC9" i="2"/>
  <c r="D1381" i="1"/>
  <c r="B534" i="8" s="1"/>
  <c r="C13" i="5"/>
  <c r="E20" i="5"/>
  <c r="G1388" i="1"/>
  <c r="E541" i="8" s="1"/>
  <c r="G1387" i="1"/>
  <c r="E540" i="8" s="1"/>
  <c r="E19" i="5"/>
  <c r="G1384" i="1"/>
  <c r="E537" i="8" s="1"/>
  <c r="E16" i="5"/>
  <c r="P1362" i="1"/>
  <c r="C93" i="6"/>
  <c r="P1345" i="1"/>
  <c r="P1329" i="1"/>
  <c r="P1317" i="1" s="1"/>
  <c r="B462" i="8"/>
  <c r="S1346" i="1"/>
  <c r="S1321" i="1" s="1"/>
  <c r="Q1346" i="1"/>
  <c r="Q1321" i="1" s="1"/>
  <c r="T1346" i="1"/>
  <c r="T1321" i="1" s="1"/>
  <c r="F1312" i="1"/>
  <c r="R1346" i="1"/>
  <c r="R1321" i="1" s="1"/>
  <c r="P1346" i="1"/>
  <c r="P1321" i="1" s="1"/>
  <c r="F4" i="1"/>
  <c r="I1309" i="1"/>
  <c r="Z4" i="2"/>
  <c r="D18" i="1"/>
  <c r="D803" i="1"/>
  <c r="D76" i="1"/>
  <c r="D1189" i="1"/>
  <c r="D739" i="1"/>
  <c r="D482" i="1"/>
  <c r="D140" i="1"/>
  <c r="D611" i="1"/>
  <c r="D1252" i="1"/>
  <c r="D1253" i="1" s="1"/>
  <c r="D1124" i="1"/>
  <c r="D267" i="1"/>
  <c r="D867" i="1"/>
  <c r="D675" i="1"/>
  <c r="D547" i="1"/>
  <c r="D354" i="1"/>
  <c r="D355" i="1" s="1"/>
  <c r="J1312" i="1"/>
  <c r="D995" i="1"/>
  <c r="D418" i="1"/>
  <c r="D931" i="1"/>
  <c r="D17" i="1"/>
  <c r="S1142" i="1"/>
  <c r="D1060" i="1"/>
  <c r="D204" i="1"/>
  <c r="K106" i="6"/>
  <c r="J661" i="8"/>
  <c r="H104" i="6"/>
  <c r="G659" i="8"/>
  <c r="E107" i="6"/>
  <c r="D662" i="8"/>
  <c r="AJ12" i="2"/>
  <c r="AJ22" i="2"/>
  <c r="AC22" i="2"/>
  <c r="AC13" i="2"/>
  <c r="H21" i="2"/>
  <c r="G416" i="8" s="1"/>
  <c r="AC23" i="2"/>
  <c r="AC14" i="2"/>
  <c r="AC16" i="2"/>
  <c r="G403" i="8"/>
  <c r="D1388" i="1"/>
  <c r="B541" i="8" s="1"/>
  <c r="C20" i="5"/>
  <c r="D1387" i="1"/>
  <c r="B540" i="8" s="1"/>
  <c r="C19" i="5"/>
  <c r="C16" i="5"/>
  <c r="D1384" i="1"/>
  <c r="B537" i="8" s="1"/>
  <c r="F18" i="1"/>
  <c r="G1252" i="1"/>
  <c r="F611" i="1"/>
  <c r="L1312" i="1"/>
  <c r="T1142" i="1"/>
  <c r="F1124" i="1"/>
  <c r="F1060" i="1"/>
  <c r="L1060" i="1" s="1"/>
  <c r="F17" i="1"/>
  <c r="F354" i="1"/>
  <c r="F355" i="1" s="1"/>
  <c r="F267" i="1"/>
  <c r="K267" i="1" s="1"/>
  <c r="F995" i="1"/>
  <c r="L995" i="1" s="1"/>
  <c r="F418" i="1"/>
  <c r="F931" i="1"/>
  <c r="F803" i="1"/>
  <c r="F76" i="1"/>
  <c r="K76" i="1" s="1"/>
  <c r="F547" i="1"/>
  <c r="F867" i="1"/>
  <c r="F1189" i="1"/>
  <c r="F204" i="1"/>
  <c r="F675" i="1"/>
  <c r="F140" i="1"/>
  <c r="K140" i="1" s="1"/>
  <c r="F482" i="1"/>
  <c r="F739" i="1"/>
  <c r="J659" i="8"/>
  <c r="K104" i="6"/>
  <c r="H107" i="6"/>
  <c r="G662" i="8"/>
  <c r="AJ16" i="2"/>
  <c r="AJ18" i="2"/>
  <c r="AJ9" i="2"/>
  <c r="AJ19" i="2"/>
  <c r="AC19" i="2"/>
  <c r="H12" i="2"/>
  <c r="G407" i="8" s="1"/>
  <c r="C26" i="5"/>
  <c r="D1394" i="1"/>
  <c r="B547" i="8" s="1"/>
  <c r="C24" i="5"/>
  <c r="D1392" i="1"/>
  <c r="B545" i="8" s="1"/>
  <c r="D1395" i="1"/>
  <c r="B548" i="8" s="1"/>
  <c r="C28" i="5"/>
  <c r="A26" i="5"/>
  <c r="A547" i="8"/>
  <c r="E14" i="5"/>
  <c r="G1382" i="1"/>
  <c r="E535" i="8" s="1"/>
  <c r="E26" i="5"/>
  <c r="G1394" i="1"/>
  <c r="E547" i="8" s="1"/>
  <c r="E28" i="5"/>
  <c r="G1395" i="1"/>
  <c r="E548" i="8" s="1"/>
  <c r="D660" i="8"/>
  <c r="E105" i="6"/>
  <c r="J662" i="8"/>
  <c r="K107" i="6"/>
  <c r="AC18" i="2"/>
  <c r="H14" i="2"/>
  <c r="G409" i="8" s="1"/>
  <c r="AC25" i="2"/>
  <c r="H10" i="2"/>
  <c r="G405" i="8" s="1"/>
  <c r="G1389" i="1"/>
  <c r="E542" i="8" s="1"/>
  <c r="E21" i="5"/>
  <c r="G1386" i="1"/>
  <c r="E539" i="8" s="1"/>
  <c r="E18" i="5"/>
  <c r="C10" i="5"/>
  <c r="G1378" i="1"/>
  <c r="E531" i="8" s="1"/>
  <c r="E10" i="5"/>
  <c r="G1385" i="1"/>
  <c r="E538" i="8" s="1"/>
  <c r="E17" i="5"/>
  <c r="C102" i="6"/>
  <c r="M103" i="6" s="1"/>
  <c r="B657" i="8"/>
  <c r="L658" i="8" s="1"/>
  <c r="D659" i="8"/>
  <c r="E104" i="6"/>
  <c r="G660" i="8"/>
  <c r="H105" i="6"/>
  <c r="H11" i="2"/>
  <c r="G406" i="8" s="1"/>
  <c r="G1381" i="1"/>
  <c r="E534" i="8" s="1"/>
  <c r="E13" i="5"/>
  <c r="C21" i="5"/>
  <c r="D1389" i="1"/>
  <c r="B542" i="8" s="1"/>
  <c r="E25" i="5"/>
  <c r="G1393" i="1"/>
  <c r="E546" i="8" s="1"/>
  <c r="C17" i="5"/>
  <c r="D1385" i="1"/>
  <c r="B538" i="8" s="1"/>
  <c r="B1118" i="1"/>
  <c r="B34" i="2"/>
  <c r="D1378" i="1"/>
  <c r="B531" i="8" s="1"/>
  <c r="G1249" i="1"/>
  <c r="E1309" i="1"/>
  <c r="C9" i="2"/>
  <c r="B404" i="8" s="1"/>
  <c r="G1245" i="1"/>
  <c r="C29" i="2"/>
  <c r="B424" i="8" s="1"/>
  <c r="E34" i="2"/>
  <c r="D429" i="8" s="1"/>
  <c r="C38" i="2"/>
  <c r="B433" i="8" s="1"/>
  <c r="G1246" i="1"/>
  <c r="G1254" i="1"/>
  <c r="G1220" i="1"/>
  <c r="G1235" i="1"/>
  <c r="AG8" i="2"/>
  <c r="G1234" i="1"/>
  <c r="AG24" i="2"/>
  <c r="G1228" i="1"/>
  <c r="G1223" i="1"/>
  <c r="G1243" i="1"/>
  <c r="G1439" i="1"/>
  <c r="E595" i="8" s="1"/>
  <c r="D1439" i="1"/>
  <c r="C25" i="2"/>
  <c r="B420" i="8" s="1"/>
  <c r="G1247" i="1"/>
  <c r="G1229" i="1"/>
  <c r="K1439" i="1"/>
  <c r="I595" i="8" s="1"/>
  <c r="G1255" i="1"/>
  <c r="AG15" i="2"/>
  <c r="G1237" i="1"/>
  <c r="G1244" i="1"/>
  <c r="G1225" i="1"/>
  <c r="G1233" i="1"/>
  <c r="G1240" i="1"/>
  <c r="C41" i="2"/>
  <c r="G1250" i="1"/>
  <c r="G1239" i="1"/>
  <c r="E19" i="2"/>
  <c r="D414" i="8" s="1"/>
  <c r="C37" i="2"/>
  <c r="B432" i="8" s="1"/>
  <c r="G1227" i="1"/>
  <c r="C36" i="2"/>
  <c r="B431" i="8" s="1"/>
  <c r="G1224" i="1"/>
  <c r="G1248" i="1"/>
  <c r="G1222" i="1"/>
  <c r="G1230" i="1"/>
  <c r="G1238" i="1"/>
  <c r="C35" i="2"/>
  <c r="B430" i="8" s="1"/>
  <c r="C40" i="2"/>
  <c r="B435" i="8" s="1"/>
  <c r="G1256" i="1"/>
  <c r="C17" i="2"/>
  <c r="Z15" i="2"/>
  <c r="G1231" i="1"/>
  <c r="Z8" i="2"/>
  <c r="Z20" i="2"/>
  <c r="AG31" i="2"/>
  <c r="AG21" i="2"/>
  <c r="C15" i="2"/>
  <c r="B410" i="8" s="1"/>
  <c r="C43" i="2"/>
  <c r="B438" i="8" s="1"/>
  <c r="Z42" i="2" l="1"/>
  <c r="F49" i="2" s="1"/>
  <c r="AG42" i="2"/>
  <c r="E49" i="2" s="1"/>
  <c r="L739" i="1"/>
  <c r="F740" i="1"/>
  <c r="L740" i="1" s="1"/>
  <c r="L611" i="1"/>
  <c r="F612" i="1"/>
  <c r="L612" i="1" s="1"/>
  <c r="H867" i="1"/>
  <c r="D868" i="1"/>
  <c r="H611" i="1"/>
  <c r="D612" i="1"/>
  <c r="H612" i="1" s="1"/>
  <c r="H1189" i="1"/>
  <c r="D1190" i="1"/>
  <c r="E29" i="5"/>
  <c r="C29" i="5"/>
  <c r="L482" i="1"/>
  <c r="F483" i="1"/>
  <c r="L483" i="1" s="1"/>
  <c r="L1189" i="1"/>
  <c r="F1190" i="1"/>
  <c r="L1190" i="1" s="1"/>
  <c r="L803" i="1"/>
  <c r="F804" i="1"/>
  <c r="L804" i="1" s="1"/>
  <c r="L1124" i="1"/>
  <c r="F1125" i="1"/>
  <c r="H931" i="1"/>
  <c r="D932" i="1"/>
  <c r="B370" i="8"/>
  <c r="H355" i="1"/>
  <c r="F370" i="8" s="1"/>
  <c r="H267" i="1"/>
  <c r="H140" i="1"/>
  <c r="H76" i="1"/>
  <c r="L867" i="1"/>
  <c r="F868" i="1"/>
  <c r="L868" i="1" s="1"/>
  <c r="L931" i="1"/>
  <c r="F932" i="1"/>
  <c r="L932" i="1" s="1"/>
  <c r="L355" i="1"/>
  <c r="J370" i="8" s="1"/>
  <c r="D370" i="8"/>
  <c r="H1060" i="1"/>
  <c r="D1061" i="1"/>
  <c r="H1061" i="1" s="1"/>
  <c r="H418" i="1"/>
  <c r="D419" i="1"/>
  <c r="H547" i="1"/>
  <c r="D548" i="1"/>
  <c r="H1124" i="1"/>
  <c r="D1125" i="1"/>
  <c r="H482" i="1"/>
  <c r="D483" i="1"/>
  <c r="H803" i="1"/>
  <c r="D804" i="1"/>
  <c r="L675" i="1"/>
  <c r="F676" i="1"/>
  <c r="L676" i="1" s="1"/>
  <c r="L547" i="1"/>
  <c r="F548" i="1"/>
  <c r="L548" i="1" s="1"/>
  <c r="L418" i="1"/>
  <c r="F419" i="1"/>
  <c r="L419" i="1" s="1"/>
  <c r="H995" i="1"/>
  <c r="H675" i="1"/>
  <c r="H739" i="1"/>
  <c r="D740" i="1"/>
  <c r="AJ42" i="2"/>
  <c r="I19" i="2"/>
  <c r="H414" i="8" s="1"/>
  <c r="J1118" i="1"/>
  <c r="AC42" i="2"/>
  <c r="I4" i="1"/>
  <c r="K1309" i="1"/>
  <c r="C59" i="6"/>
  <c r="C228" i="8"/>
  <c r="D228" i="8"/>
  <c r="H17" i="1"/>
  <c r="F107" i="8" s="1"/>
  <c r="B107" i="8"/>
  <c r="AF35" i="2"/>
  <c r="A430" i="8"/>
  <c r="Y35" i="2"/>
  <c r="D1382" i="1"/>
  <c r="B535" i="8" s="1"/>
  <c r="C14" i="5"/>
  <c r="M659" i="8"/>
  <c r="K659" i="8"/>
  <c r="L659" i="8"/>
  <c r="N659" i="8"/>
  <c r="B734" i="1"/>
  <c r="B798" i="1"/>
  <c r="B477" i="1"/>
  <c r="B1247" i="1"/>
  <c r="B1184" i="1"/>
  <c r="B926" i="1"/>
  <c r="B606" i="1"/>
  <c r="B413" i="1"/>
  <c r="B1386" i="1"/>
  <c r="A539" i="8" s="1"/>
  <c r="B670" i="1"/>
  <c r="B542" i="1"/>
  <c r="B1055" i="1"/>
  <c r="B990" i="1"/>
  <c r="B862" i="1"/>
  <c r="A18" i="5"/>
  <c r="B349" i="1"/>
  <c r="A364" i="8" s="1"/>
  <c r="R1141" i="1"/>
  <c r="Q1345" i="1"/>
  <c r="Q1362" i="1"/>
  <c r="D93" i="6"/>
  <c r="C462" i="8"/>
  <c r="Q1329" i="1"/>
  <c r="Q1317" i="1" s="1"/>
  <c r="B412" i="8"/>
  <c r="H17" i="2"/>
  <c r="G412" i="8" s="1"/>
  <c r="C9" i="5"/>
  <c r="D1377" i="1"/>
  <c r="B530" i="8" s="1"/>
  <c r="D291" i="8"/>
  <c r="K204" i="1"/>
  <c r="I291" i="8" s="1"/>
  <c r="B108" i="8"/>
  <c r="E22" i="1"/>
  <c r="C112" i="8" s="1"/>
  <c r="E18" i="1"/>
  <c r="C108" i="8" s="1"/>
  <c r="H18" i="1"/>
  <c r="F108" i="8" s="1"/>
  <c r="D19" i="1"/>
  <c r="M106" i="6"/>
  <c r="O106" i="6"/>
  <c r="N106" i="6"/>
  <c r="L106" i="6"/>
  <c r="E544" i="8"/>
  <c r="G1396" i="1"/>
  <c r="E549" i="8" s="1"/>
  <c r="E529" i="8"/>
  <c r="G1379" i="1"/>
  <c r="E532" i="8" s="1"/>
  <c r="E11" i="5"/>
  <c r="AF34" i="2"/>
  <c r="Y34" i="2"/>
  <c r="A429" i="8"/>
  <c r="O105" i="6"/>
  <c r="L105" i="6"/>
  <c r="M105" i="6"/>
  <c r="N105" i="6"/>
  <c r="L661" i="8"/>
  <c r="M661" i="8"/>
  <c r="N661" i="8"/>
  <c r="K661" i="8"/>
  <c r="H41" i="2"/>
  <c r="G436" i="8" s="1"/>
  <c r="B436" i="8"/>
  <c r="B1054" i="1"/>
  <c r="B605" i="1"/>
  <c r="B925" i="1"/>
  <c r="B541" i="1"/>
  <c r="B733" i="1"/>
  <c r="B1246" i="1"/>
  <c r="B797" i="1"/>
  <c r="B476" i="1"/>
  <c r="B989" i="1"/>
  <c r="A17" i="5"/>
  <c r="B1183" i="1"/>
  <c r="B412" i="1"/>
  <c r="B348" i="1"/>
  <c r="A363" i="8" s="1"/>
  <c r="B861" i="1"/>
  <c r="B669" i="1"/>
  <c r="B1385" i="1"/>
  <c r="A538" i="8" s="1"/>
  <c r="L660" i="8"/>
  <c r="K660" i="8"/>
  <c r="M660" i="8"/>
  <c r="N660" i="8"/>
  <c r="D369" i="8"/>
  <c r="D63" i="7"/>
  <c r="G229" i="8"/>
  <c r="L354" i="1"/>
  <c r="J369" i="8" s="1"/>
  <c r="D60" i="6"/>
  <c r="F229" i="8"/>
  <c r="D108" i="8"/>
  <c r="F19" i="1"/>
  <c r="G22" i="1"/>
  <c r="G18" i="1"/>
  <c r="E108" i="8" s="1"/>
  <c r="H204" i="1"/>
  <c r="F291" i="8" s="1"/>
  <c r="B291" i="8"/>
  <c r="D229" i="8"/>
  <c r="C63" i="7"/>
  <c r="C229" i="8"/>
  <c r="B369" i="8"/>
  <c r="H354" i="1"/>
  <c r="F369" i="8" s="1"/>
  <c r="C60" i="6"/>
  <c r="T1141" i="1"/>
  <c r="H93" i="6"/>
  <c r="S1329" i="1"/>
  <c r="S1317" i="1" s="1"/>
  <c r="G462" i="8"/>
  <c r="S1345" i="1"/>
  <c r="S1362" i="1"/>
  <c r="G1241" i="1"/>
  <c r="G1284" i="1"/>
  <c r="G1285" i="1" s="1"/>
  <c r="G1286" i="1" s="1"/>
  <c r="G1377" i="1"/>
  <c r="E530" i="8" s="1"/>
  <c r="E9" i="5"/>
  <c r="E22" i="5" s="1"/>
  <c r="C11" i="5"/>
  <c r="D1379" i="1"/>
  <c r="B532" i="8" s="1"/>
  <c r="D59" i="6"/>
  <c r="G228" i="8"/>
  <c r="D107" i="8"/>
  <c r="F228" i="8"/>
  <c r="M662" i="8"/>
  <c r="N662" i="8"/>
  <c r="L662" i="8"/>
  <c r="K662" i="8"/>
  <c r="F129" i="1"/>
  <c r="F1154" i="1"/>
  <c r="D47" i="6"/>
  <c r="N64" i="6" s="1"/>
  <c r="G1436" i="1"/>
  <c r="E592" i="8" s="1"/>
  <c r="Q1472" i="1"/>
  <c r="Q369" i="1"/>
  <c r="Q1444" i="1"/>
  <c r="F576" i="1"/>
  <c r="F1025" i="1"/>
  <c r="F383" i="1"/>
  <c r="Q284" i="1"/>
  <c r="Q823" i="1"/>
  <c r="F768" i="1"/>
  <c r="F256" i="1"/>
  <c r="Q499" i="1"/>
  <c r="Q694" i="1"/>
  <c r="F896" i="1"/>
  <c r="D4" i="6"/>
  <c r="N20" i="6" s="1"/>
  <c r="Q1076" i="1"/>
  <c r="Q629" i="1"/>
  <c r="G1374" i="1"/>
  <c r="F447" i="1"/>
  <c r="F216" i="8"/>
  <c r="M233" i="8" s="1"/>
  <c r="Q86" i="1"/>
  <c r="F832" i="1"/>
  <c r="F704" i="1"/>
  <c r="Q1012" i="1"/>
  <c r="F319" i="1"/>
  <c r="D334" i="8" s="1"/>
  <c r="Q31" i="1"/>
  <c r="F154" i="8"/>
  <c r="M170" i="8" s="1"/>
  <c r="Q374" i="1"/>
  <c r="Q758" i="1"/>
  <c r="F960" i="1"/>
  <c r="D50" i="7"/>
  <c r="Q563" i="1"/>
  <c r="Q149" i="1"/>
  <c r="F1089" i="1"/>
  <c r="Q213" i="1"/>
  <c r="Q1144" i="1"/>
  <c r="D7" i="7"/>
  <c r="F48" i="2"/>
  <c r="E445" i="8" s="1"/>
  <c r="Q1204" i="1"/>
  <c r="F511" i="1"/>
  <c r="F65" i="1"/>
  <c r="D94" i="8"/>
  <c r="Q952" i="1"/>
  <c r="F193" i="1"/>
  <c r="D280" i="8" s="1"/>
  <c r="F640" i="1"/>
  <c r="Q438" i="1"/>
  <c r="Q886" i="1"/>
  <c r="R1205" i="1"/>
  <c r="P1205" i="1"/>
  <c r="Q1205" i="1"/>
  <c r="L104" i="6"/>
  <c r="M104" i="6"/>
  <c r="O104" i="6"/>
  <c r="N104" i="6"/>
  <c r="R1473" i="1"/>
  <c r="P1473" i="1"/>
  <c r="Q1473" i="1"/>
  <c r="B595" i="8"/>
  <c r="D1376" i="1"/>
  <c r="C8" i="5"/>
  <c r="C22" i="5" s="1"/>
  <c r="N107" i="6"/>
  <c r="M107" i="6"/>
  <c r="L107" i="6"/>
  <c r="O107" i="6"/>
  <c r="D1396" i="1"/>
  <c r="B549" i="8" s="1"/>
  <c r="B544" i="8"/>
  <c r="E24" i="2"/>
  <c r="D419" i="8" s="1"/>
  <c r="E35" i="2"/>
  <c r="D430" i="8" s="1"/>
  <c r="D5" i="2"/>
  <c r="C400" i="8" s="1"/>
  <c r="G1236" i="1"/>
  <c r="G1221" i="1"/>
  <c r="AD36" i="2"/>
  <c r="AD38" i="2"/>
  <c r="AD9" i="2"/>
  <c r="AD30" i="2"/>
  <c r="AD37" i="2"/>
  <c r="AD8" i="2"/>
  <c r="AD41" i="2"/>
  <c r="AD35" i="2"/>
  <c r="AD15" i="2"/>
  <c r="AD25" i="2"/>
  <c r="AD34" i="2"/>
  <c r="G1219" i="1"/>
  <c r="G1226" i="1"/>
  <c r="G1232" i="1"/>
  <c r="E31" i="2"/>
  <c r="D426" i="8" s="1"/>
  <c r="C30" i="2"/>
  <c r="F19" i="2"/>
  <c r="H804" i="1" l="1"/>
  <c r="H1125" i="1"/>
  <c r="H740" i="1"/>
  <c r="H483" i="1"/>
  <c r="G1390" i="1"/>
  <c r="E543" i="8" s="1"/>
  <c r="H419" i="1"/>
  <c r="H932" i="1"/>
  <c r="H1190" i="1"/>
  <c r="H868" i="1"/>
  <c r="H548" i="1"/>
  <c r="D446" i="8"/>
  <c r="E52" i="2"/>
  <c r="G1251" i="1"/>
  <c r="G1253" i="1" s="1"/>
  <c r="J1123" i="1"/>
  <c r="L1118" i="1"/>
  <c r="E446" i="8"/>
  <c r="E17" i="7"/>
  <c r="E62" i="7" s="1"/>
  <c r="B529" i="8"/>
  <c r="D1390" i="1"/>
  <c r="C59" i="7"/>
  <c r="C60" i="7"/>
  <c r="C57" i="7"/>
  <c r="C58" i="7"/>
  <c r="C56" i="7"/>
  <c r="C61" i="7"/>
  <c r="C55" i="7"/>
  <c r="C62" i="7"/>
  <c r="C53" i="7"/>
  <c r="C54" i="7"/>
  <c r="C52" i="7"/>
  <c r="P1402" i="1"/>
  <c r="E6" i="5"/>
  <c r="E527" i="8"/>
  <c r="D54" i="6"/>
  <c r="D57" i="6"/>
  <c r="D50" i="6"/>
  <c r="D49" i="6"/>
  <c r="D58" i="6"/>
  <c r="D52" i="6"/>
  <c r="D56" i="6"/>
  <c r="D51" i="6"/>
  <c r="D55" i="6"/>
  <c r="D53" i="6"/>
  <c r="C51" i="6"/>
  <c r="C55" i="6"/>
  <c r="C57" i="6"/>
  <c r="C52" i="6"/>
  <c r="C49" i="6"/>
  <c r="C56" i="6"/>
  <c r="C58" i="6"/>
  <c r="C53" i="6"/>
  <c r="C54" i="6"/>
  <c r="C50" i="6"/>
  <c r="B109" i="8"/>
  <c r="H19" i="1"/>
  <c r="F109" i="8" s="1"/>
  <c r="E60" i="7"/>
  <c r="E19" i="7"/>
  <c r="F221" i="8"/>
  <c r="F219" i="8"/>
  <c r="F225" i="8"/>
  <c r="F224" i="8"/>
  <c r="F222" i="8"/>
  <c r="F227" i="8"/>
  <c r="F226" i="8"/>
  <c r="F223" i="8"/>
  <c r="F220" i="8"/>
  <c r="F218" i="8"/>
  <c r="D61" i="7"/>
  <c r="D59" i="7"/>
  <c r="D56" i="7"/>
  <c r="D53" i="7"/>
  <c r="D57" i="7"/>
  <c r="D52" i="7"/>
  <c r="D62" i="7"/>
  <c r="D58" i="7"/>
  <c r="D55" i="7"/>
  <c r="D60" i="7"/>
  <c r="D54" i="7"/>
  <c r="H30" i="2"/>
  <c r="B425" i="8"/>
  <c r="AD42" i="2"/>
  <c r="F51" i="2" s="1"/>
  <c r="E448" i="8" s="1"/>
  <c r="H22" i="1"/>
  <c r="F112" i="8" s="1"/>
  <c r="E112" i="8"/>
  <c r="I462" i="8"/>
  <c r="T1345" i="1"/>
  <c r="J93" i="6"/>
  <c r="T1329" i="1"/>
  <c r="T1317" i="1" s="1"/>
  <c r="T1362" i="1"/>
  <c r="F42" i="2"/>
  <c r="E414" i="8"/>
  <c r="H657" i="8"/>
  <c r="N658" i="8" s="1"/>
  <c r="I102" i="6"/>
  <c r="O103" i="6" s="1"/>
  <c r="C227" i="8"/>
  <c r="C221" i="8"/>
  <c r="C225" i="8"/>
  <c r="C222" i="8"/>
  <c r="C226" i="8"/>
  <c r="C219" i="8"/>
  <c r="C223" i="8"/>
  <c r="C220" i="8"/>
  <c r="C224" i="8"/>
  <c r="C218" i="8"/>
  <c r="D109" i="8"/>
  <c r="J1154" i="1"/>
  <c r="E4" i="6"/>
  <c r="O20" i="6" s="1"/>
  <c r="J640" i="1"/>
  <c r="R499" i="1"/>
  <c r="I129" i="1"/>
  <c r="R1444" i="1"/>
  <c r="J704" i="1"/>
  <c r="I216" i="8"/>
  <c r="N233" i="8" s="1"/>
  <c r="E47" i="6"/>
  <c r="O64" i="6" s="1"/>
  <c r="P49" i="1"/>
  <c r="J768" i="1"/>
  <c r="J319" i="1"/>
  <c r="H334" i="8" s="1"/>
  <c r="K1436" i="1"/>
  <c r="I592" i="8" s="1"/>
  <c r="J511" i="1"/>
  <c r="J576" i="1"/>
  <c r="Q1" i="1"/>
  <c r="J1025" i="1"/>
  <c r="R149" i="1"/>
  <c r="R886" i="1"/>
  <c r="J960" i="1"/>
  <c r="R1076" i="1"/>
  <c r="G94" i="8"/>
  <c r="R284" i="1"/>
  <c r="P231" i="1"/>
  <c r="P297" i="1"/>
  <c r="R1144" i="1"/>
  <c r="P1417" i="1"/>
  <c r="J447" i="1"/>
  <c r="R758" i="1"/>
  <c r="R1204" i="1"/>
  <c r="R823" i="1"/>
  <c r="R563" i="1"/>
  <c r="R952" i="1"/>
  <c r="R1012" i="1"/>
  <c r="R86" i="1"/>
  <c r="P106" i="1"/>
  <c r="G48" i="2"/>
  <c r="F445" i="8" s="1"/>
  <c r="R438" i="1"/>
  <c r="I256" i="1"/>
  <c r="K1374" i="1"/>
  <c r="J896" i="1"/>
  <c r="R694" i="1"/>
  <c r="R629" i="1"/>
  <c r="R374" i="1"/>
  <c r="I65" i="1"/>
  <c r="Q1" i="2"/>
  <c r="J383" i="1"/>
  <c r="R1472" i="1"/>
  <c r="P173" i="1"/>
  <c r="I193" i="1"/>
  <c r="G280" i="8" s="1"/>
  <c r="E50" i="7"/>
  <c r="J1089" i="1"/>
  <c r="R213" i="1"/>
  <c r="R369" i="1"/>
  <c r="I154" i="8"/>
  <c r="N170" i="8" s="1"/>
  <c r="J832" i="1"/>
  <c r="E7" i="7"/>
  <c r="R31" i="1"/>
  <c r="B1" i="1"/>
  <c r="C34" i="2"/>
  <c r="B429" i="8" s="1"/>
  <c r="J5" i="2"/>
  <c r="I400" i="8" s="1"/>
  <c r="K1243" i="1"/>
  <c r="K1244" i="1"/>
  <c r="E15" i="2"/>
  <c r="D410" i="8" s="1"/>
  <c r="F52" i="2" l="1"/>
  <c r="D449" i="8"/>
  <c r="E53" i="2"/>
  <c r="D450" i="8" s="1"/>
  <c r="G1257" i="1"/>
  <c r="J1129" i="1"/>
  <c r="L1123" i="1"/>
  <c r="J1125" i="1"/>
  <c r="L1125" i="1" s="1"/>
  <c r="I15" i="2"/>
  <c r="H410" i="8" s="1"/>
  <c r="E437" i="8"/>
  <c r="G50" i="2"/>
  <c r="F447" i="8" s="1"/>
  <c r="A27" i="8"/>
  <c r="I1" i="8"/>
  <c r="I90" i="8" s="1"/>
  <c r="A56" i="8"/>
  <c r="L239" i="8"/>
  <c r="M239" i="8"/>
  <c r="K239" i="8"/>
  <c r="N239" i="8"/>
  <c r="G425" i="8"/>
  <c r="H42" i="2"/>
  <c r="G437" i="8" s="1"/>
  <c r="N70" i="6"/>
  <c r="L70" i="6"/>
  <c r="M70" i="6"/>
  <c r="O70" i="6"/>
  <c r="M67" i="6"/>
  <c r="N67" i="6"/>
  <c r="O67" i="6"/>
  <c r="L67" i="6"/>
  <c r="N69" i="6"/>
  <c r="O69" i="6"/>
  <c r="M69" i="6"/>
  <c r="L69" i="6"/>
  <c r="H6" i="5"/>
  <c r="Q1402" i="1"/>
  <c r="I527" i="8"/>
  <c r="N238" i="8"/>
  <c r="K238" i="8"/>
  <c r="M238" i="8"/>
  <c r="L238" i="8"/>
  <c r="L72" i="6"/>
  <c r="O72" i="6"/>
  <c r="N72" i="6"/>
  <c r="M72" i="6"/>
  <c r="M235" i="8"/>
  <c r="N235" i="8"/>
  <c r="L235" i="8"/>
  <c r="K235" i="8"/>
  <c r="M241" i="8"/>
  <c r="L241" i="8"/>
  <c r="K241" i="8"/>
  <c r="N241" i="8"/>
  <c r="N65" i="6"/>
  <c r="L65" i="6"/>
  <c r="O65" i="6"/>
  <c r="M65" i="6"/>
  <c r="K1250" i="1"/>
  <c r="D38" i="2"/>
  <c r="C433" i="8" s="1"/>
  <c r="K1241" i="1"/>
  <c r="K1284" i="1"/>
  <c r="K1285" i="1" s="1"/>
  <c r="K1286" i="1" s="1"/>
  <c r="C4" i="2"/>
  <c r="B399" i="8" s="1"/>
  <c r="E4" i="2"/>
  <c r="D399" i="8" s="1"/>
  <c r="B2" i="2"/>
  <c r="A397" i="8" s="1"/>
  <c r="L234" i="8"/>
  <c r="M234" i="8"/>
  <c r="N234" i="8"/>
  <c r="K234" i="8"/>
  <c r="L237" i="8"/>
  <c r="M237" i="8"/>
  <c r="K237" i="8"/>
  <c r="N237" i="8"/>
  <c r="L68" i="6"/>
  <c r="O68" i="6"/>
  <c r="N68" i="6"/>
  <c r="M68" i="6"/>
  <c r="B543" i="8"/>
  <c r="K240" i="8"/>
  <c r="L240" i="8"/>
  <c r="N240" i="8"/>
  <c r="M240" i="8"/>
  <c r="M243" i="8"/>
  <c r="K243" i="8"/>
  <c r="N243" i="8"/>
  <c r="L243" i="8"/>
  <c r="O74" i="6"/>
  <c r="N74" i="6"/>
  <c r="L74" i="6"/>
  <c r="M74" i="6"/>
  <c r="K236" i="8"/>
  <c r="L236" i="8"/>
  <c r="N236" i="8"/>
  <c r="M236" i="8"/>
  <c r="M66" i="6"/>
  <c r="L66" i="6"/>
  <c r="O66" i="6"/>
  <c r="N66" i="6"/>
  <c r="N71" i="6"/>
  <c r="M71" i="6"/>
  <c r="O71" i="6"/>
  <c r="L71" i="6"/>
  <c r="I29" i="2"/>
  <c r="H424" i="8" s="1"/>
  <c r="I9" i="2"/>
  <c r="H404" i="8" s="1"/>
  <c r="D32" i="2"/>
  <c r="C427" i="8" s="1"/>
  <c r="D26" i="2"/>
  <c r="C421" i="8" s="1"/>
  <c r="D28" i="2"/>
  <c r="C423" i="8" s="1"/>
  <c r="L1129" i="1" l="1"/>
  <c r="P1145" i="1"/>
  <c r="I164" i="8"/>
  <c r="R1145" i="1"/>
  <c r="E14" i="6"/>
  <c r="Q1145" i="1"/>
  <c r="I14" i="1"/>
  <c r="E449" i="8"/>
  <c r="F53" i="2"/>
  <c r="E450" i="8" s="1"/>
  <c r="K1227" i="1"/>
  <c r="D16" i="2"/>
  <c r="C411" i="8" s="1"/>
  <c r="K1245" i="1"/>
  <c r="D33" i="2"/>
  <c r="C428" i="8" s="1"/>
  <c r="K1231" i="1"/>
  <c r="D20" i="2"/>
  <c r="C415" i="8" s="1"/>
  <c r="D14" i="2"/>
  <c r="C409" i="8" s="1"/>
  <c r="K1225" i="1"/>
  <c r="D11" i="2"/>
  <c r="C406" i="8" s="1"/>
  <c r="K1255" i="1"/>
  <c r="K1239" i="1"/>
  <c r="D29" i="2"/>
  <c r="C424" i="8" s="1"/>
  <c r="K1379" i="1"/>
  <c r="H11" i="5"/>
  <c r="D40" i="2"/>
  <c r="C435" i="8" s="1"/>
  <c r="K1220" i="1"/>
  <c r="D19" i="2"/>
  <c r="C414" i="8" s="1"/>
  <c r="K1230" i="1"/>
  <c r="K1237" i="1"/>
  <c r="D27" i="2"/>
  <c r="C422" i="8" s="1"/>
  <c r="D12" i="2"/>
  <c r="C407" i="8" s="1"/>
  <c r="K1223" i="1"/>
  <c r="K1233" i="1"/>
  <c r="D22" i="2"/>
  <c r="C417" i="8" s="1"/>
  <c r="K1378" i="1"/>
  <c r="H10" i="5"/>
  <c r="K1256" i="1"/>
  <c r="D39" i="2"/>
  <c r="C434" i="8" s="1"/>
  <c r="K1222" i="1"/>
  <c r="D10" i="2"/>
  <c r="C405" i="8" s="1"/>
  <c r="D23" i="2"/>
  <c r="C418" i="8" s="1"/>
  <c r="K1234" i="1"/>
  <c r="K1224" i="1"/>
  <c r="D13" i="2"/>
  <c r="C408" i="8" s="1"/>
  <c r="K1228" i="1"/>
  <c r="J17" i="2"/>
  <c r="I412" i="8" s="1"/>
  <c r="D17" i="2"/>
  <c r="C412" i="8" s="1"/>
  <c r="D18" i="2"/>
  <c r="C413" i="8" s="1"/>
  <c r="K1229" i="1"/>
  <c r="C31" i="2"/>
  <c r="B426" i="8" s="1"/>
  <c r="K14" i="1" l="1"/>
  <c r="I104" i="8" s="1"/>
  <c r="I16" i="1"/>
  <c r="R40" i="1"/>
  <c r="Q40" i="1"/>
  <c r="G104" i="8"/>
  <c r="O40" i="1"/>
  <c r="P40" i="1"/>
  <c r="N179" i="8"/>
  <c r="L179" i="8"/>
  <c r="M179" i="8"/>
  <c r="I226" i="8"/>
  <c r="K179" i="8"/>
  <c r="M29" i="6"/>
  <c r="E57" i="6"/>
  <c r="N29" i="6"/>
  <c r="L29" i="6"/>
  <c r="O29" i="6"/>
  <c r="K1235" i="1"/>
  <c r="D41" i="2"/>
  <c r="C436" i="8" s="1"/>
  <c r="D24" i="2"/>
  <c r="C419" i="8" s="1"/>
  <c r="K1236" i="1"/>
  <c r="K1238" i="1"/>
  <c r="D25" i="2"/>
  <c r="C420" i="8" s="1"/>
  <c r="D34" i="2"/>
  <c r="C429" i="8" s="1"/>
  <c r="K1246" i="1"/>
  <c r="K1247" i="1"/>
  <c r="D35" i="2"/>
  <c r="C430" i="8" s="1"/>
  <c r="O1380" i="1"/>
  <c r="P1380" i="1"/>
  <c r="I532" i="8"/>
  <c r="D7" i="2"/>
  <c r="K1219" i="1"/>
  <c r="K1232" i="1"/>
  <c r="D21" i="2"/>
  <c r="C416" i="8" s="1"/>
  <c r="D15" i="2"/>
  <c r="C410" i="8" s="1"/>
  <c r="K1226" i="1"/>
  <c r="K1240" i="1"/>
  <c r="D30" i="2"/>
  <c r="C425" i="8" s="1"/>
  <c r="D37" i="2"/>
  <c r="C432" i="8" s="1"/>
  <c r="K1249" i="1"/>
  <c r="O1379" i="1"/>
  <c r="P1379" i="1"/>
  <c r="I531" i="8"/>
  <c r="K1248" i="1"/>
  <c r="D36" i="2"/>
  <c r="C431" i="8" s="1"/>
  <c r="D9" i="2"/>
  <c r="C404" i="8" s="1"/>
  <c r="K1254" i="1"/>
  <c r="J27" i="2"/>
  <c r="I422" i="8" s="1"/>
  <c r="J29" i="2"/>
  <c r="I424" i="8" s="1"/>
  <c r="J40" i="2"/>
  <c r="I435" i="8" s="1"/>
  <c r="N242" i="8" l="1"/>
  <c r="L242" i="8"/>
  <c r="K242" i="8"/>
  <c r="M242" i="8"/>
  <c r="N73" i="6"/>
  <c r="O73" i="6"/>
  <c r="L73" i="6"/>
  <c r="M73" i="6"/>
  <c r="K16" i="1"/>
  <c r="I106" i="8" s="1"/>
  <c r="I17" i="1"/>
  <c r="P57" i="1"/>
  <c r="J12" i="1"/>
  <c r="H102" i="8" s="1"/>
  <c r="O59" i="1"/>
  <c r="Q59" i="1" s="1"/>
  <c r="J10" i="1"/>
  <c r="H100" i="8" s="1"/>
  <c r="J21" i="1"/>
  <c r="J9" i="1"/>
  <c r="H99" i="8" s="1"/>
  <c r="I18" i="1"/>
  <c r="J8" i="1"/>
  <c r="H98" i="8" s="1"/>
  <c r="J7" i="1"/>
  <c r="H97" i="8" s="1"/>
  <c r="I166" i="8"/>
  <c r="E16" i="6"/>
  <c r="J16" i="1"/>
  <c r="H106" i="8" s="1"/>
  <c r="G106" i="8"/>
  <c r="J6" i="1"/>
  <c r="H96" i="8" s="1"/>
  <c r="J13" i="1"/>
  <c r="H103" i="8" s="1"/>
  <c r="P51" i="1"/>
  <c r="O51" i="1" s="1"/>
  <c r="Q51" i="1" s="1"/>
  <c r="J15" i="1"/>
  <c r="H105" i="8" s="1"/>
  <c r="P59" i="1"/>
  <c r="J14" i="1"/>
  <c r="H104" i="8" s="1"/>
  <c r="J11" i="1"/>
  <c r="H101" i="8" s="1"/>
  <c r="P52" i="1"/>
  <c r="C402" i="8"/>
  <c r="J13" i="2"/>
  <c r="I408" i="8" s="1"/>
  <c r="I41" i="2"/>
  <c r="H436" i="8" s="1"/>
  <c r="I30" i="2"/>
  <c r="H425" i="8" s="1"/>
  <c r="J9" i="2"/>
  <c r="J22" i="2"/>
  <c r="I417" i="8" s="1"/>
  <c r="J15" i="2"/>
  <c r="I410" i="8" s="1"/>
  <c r="J12" i="2"/>
  <c r="I407" i="8" s="1"/>
  <c r="C12" i="2"/>
  <c r="B407" i="8" s="1"/>
  <c r="J23" i="2"/>
  <c r="I418" i="8" s="1"/>
  <c r="C23" i="2"/>
  <c r="B418" i="8" s="1"/>
  <c r="C22" i="2"/>
  <c r="B417" i="8" s="1"/>
  <c r="J39" i="2"/>
  <c r="I434" i="8" s="1"/>
  <c r="C39" i="2"/>
  <c r="B434" i="8" s="1"/>
  <c r="C27" i="2"/>
  <c r="B422" i="8" s="1"/>
  <c r="J19" i="2"/>
  <c r="I414" i="8" s="1"/>
  <c r="C19" i="2"/>
  <c r="B414" i="8" s="1"/>
  <c r="C10" i="2"/>
  <c r="B405" i="8" s="1"/>
  <c r="J11" i="2"/>
  <c r="I406" i="8" s="1"/>
  <c r="C11" i="2"/>
  <c r="B406" i="8" s="1"/>
  <c r="C13" i="2"/>
  <c r="B408" i="8" s="1"/>
  <c r="J16" i="2"/>
  <c r="I411" i="8" s="1"/>
  <c r="C16" i="2"/>
  <c r="B411" i="8" s="1"/>
  <c r="J18" i="2"/>
  <c r="I413" i="8" s="1"/>
  <c r="C18" i="2"/>
  <c r="B413" i="8" s="1"/>
  <c r="J14" i="2"/>
  <c r="I409" i="8" s="1"/>
  <c r="C14" i="2"/>
  <c r="B409" i="8" s="1"/>
  <c r="J10" i="2"/>
  <c r="I405" i="8" s="1"/>
  <c r="P50" i="1" l="1"/>
  <c r="O50" i="1" s="1"/>
  <c r="Q50" i="1" s="1"/>
  <c r="O52" i="1"/>
  <c r="Q52" i="1" s="1"/>
  <c r="P54" i="1"/>
  <c r="O54" i="1" s="1"/>
  <c r="Q54" i="1" s="1"/>
  <c r="P56" i="1"/>
  <c r="O56" i="1" s="1"/>
  <c r="Q56" i="1" s="1"/>
  <c r="P53" i="1"/>
  <c r="O53" i="1" s="1"/>
  <c r="Q53" i="1" s="1"/>
  <c r="H111" i="8"/>
  <c r="K21" i="1"/>
  <c r="I111" i="8" s="1"/>
  <c r="O57" i="1"/>
  <c r="Q57" i="1" s="1"/>
  <c r="M31" i="6"/>
  <c r="N31" i="6"/>
  <c r="O31" i="6"/>
  <c r="L31" i="6"/>
  <c r="I228" i="8"/>
  <c r="E59" i="6"/>
  <c r="J228" i="8"/>
  <c r="G107" i="8"/>
  <c r="K17" i="1"/>
  <c r="I107" i="8" s="1"/>
  <c r="P55" i="1"/>
  <c r="O55" i="1" s="1"/>
  <c r="Q55" i="1" s="1"/>
  <c r="I19" i="1"/>
  <c r="K18" i="1"/>
  <c r="I108" i="8" s="1"/>
  <c r="J18" i="1"/>
  <c r="H108" i="8" s="1"/>
  <c r="J22" i="1"/>
  <c r="G108" i="8"/>
  <c r="K181" i="8"/>
  <c r="L181" i="8"/>
  <c r="N181" i="8"/>
  <c r="M181" i="8"/>
  <c r="P58" i="1"/>
  <c r="O58" i="1" s="1"/>
  <c r="Q58" i="1" s="1"/>
  <c r="I404" i="8"/>
  <c r="J24" i="2"/>
  <c r="I419" i="8" s="1"/>
  <c r="C24" i="2"/>
  <c r="B419" i="8" s="1"/>
  <c r="J21" i="2"/>
  <c r="I416" i="8" s="1"/>
  <c r="C21" i="2"/>
  <c r="B416" i="8" s="1"/>
  <c r="K244" i="8" l="1"/>
  <c r="L244" i="8"/>
  <c r="M244" i="8"/>
  <c r="N244" i="8"/>
  <c r="G109" i="8"/>
  <c r="K19" i="1"/>
  <c r="I109" i="8" s="1"/>
  <c r="H112" i="8"/>
  <c r="K22" i="1"/>
  <c r="I112" i="8" s="1"/>
  <c r="N75" i="6"/>
  <c r="O75" i="6"/>
  <c r="M75" i="6"/>
  <c r="L75" i="6"/>
  <c r="H21" i="5"/>
  <c r="K1389" i="1"/>
  <c r="I38" i="2"/>
  <c r="H433" i="8" s="1"/>
  <c r="P1390" i="1" l="1"/>
  <c r="I542" i="8"/>
  <c r="O1390" i="1"/>
  <c r="J38" i="2"/>
  <c r="I433" i="8" s="1"/>
  <c r="K1383" i="1" l="1"/>
  <c r="H15" i="5"/>
  <c r="H16" i="5"/>
  <c r="K1384" i="1"/>
  <c r="H13" i="5"/>
  <c r="K1381" i="1"/>
  <c r="E20" i="2"/>
  <c r="D415" i="8" s="1"/>
  <c r="K1393" i="1" l="1"/>
  <c r="I546" i="8" s="1"/>
  <c r="H25" i="5"/>
  <c r="H20" i="5"/>
  <c r="K1388" i="1"/>
  <c r="O1382" i="1"/>
  <c r="P1382" i="1"/>
  <c r="I534" i="8"/>
  <c r="K1382" i="1"/>
  <c r="H14" i="5"/>
  <c r="I537" i="8"/>
  <c r="O1385" i="1"/>
  <c r="P1385" i="1"/>
  <c r="K1391" i="1"/>
  <c r="H23" i="5"/>
  <c r="H19" i="5"/>
  <c r="K1387" i="1"/>
  <c r="H24" i="5"/>
  <c r="K1392" i="1"/>
  <c r="I545" i="8" s="1"/>
  <c r="K1395" i="1"/>
  <c r="I548" i="8" s="1"/>
  <c r="H28" i="5"/>
  <c r="P1384" i="1"/>
  <c r="O1384" i="1"/>
  <c r="I536" i="8"/>
  <c r="E8" i="2"/>
  <c r="D403" i="8" s="1"/>
  <c r="E7" i="2"/>
  <c r="C7" i="2"/>
  <c r="I35" i="2"/>
  <c r="H430" i="8" s="1"/>
  <c r="I36" i="2"/>
  <c r="H431" i="8" s="1"/>
  <c r="I37" i="2"/>
  <c r="H432" i="8" s="1"/>
  <c r="I25" i="2"/>
  <c r="H420" i="8" s="1"/>
  <c r="I34" i="2"/>
  <c r="H429" i="8" s="1"/>
  <c r="I544" i="8" l="1"/>
  <c r="K1386" i="1"/>
  <c r="H18" i="5"/>
  <c r="B402" i="8"/>
  <c r="I541" i="8"/>
  <c r="P1389" i="1"/>
  <c r="O1389" i="1"/>
  <c r="D402" i="8"/>
  <c r="E42" i="2"/>
  <c r="H17" i="5"/>
  <c r="K1385" i="1"/>
  <c r="H26" i="5"/>
  <c r="H29" i="5" s="1"/>
  <c r="K1394" i="1"/>
  <c r="I547" i="8" s="1"/>
  <c r="O1388" i="1"/>
  <c r="I540" i="8"/>
  <c r="P1388" i="1"/>
  <c r="P1383" i="1"/>
  <c r="O1383" i="1"/>
  <c r="I535" i="8"/>
  <c r="I538" i="8" l="1"/>
  <c r="O1386" i="1"/>
  <c r="P1386" i="1"/>
  <c r="D437" i="8"/>
  <c r="G49" i="2"/>
  <c r="O1387" i="1"/>
  <c r="I539" i="8"/>
  <c r="P1387" i="1"/>
  <c r="K1396" i="1"/>
  <c r="I549" i="8" s="1"/>
  <c r="C20" i="2"/>
  <c r="B415" i="8" s="1"/>
  <c r="J20" i="2"/>
  <c r="J35" i="2"/>
  <c r="I430" i="8" s="1"/>
  <c r="J36" i="2"/>
  <c r="I431" i="8" s="1"/>
  <c r="J37" i="2"/>
  <c r="I432" i="8" s="1"/>
  <c r="J25" i="2"/>
  <c r="I420" i="8" s="1"/>
  <c r="J34" i="2"/>
  <c r="I429" i="8" s="1"/>
  <c r="I415" i="8" l="1"/>
  <c r="J42" i="2"/>
  <c r="I437" i="8" s="1"/>
  <c r="F446" i="8"/>
  <c r="C8" i="2"/>
  <c r="D8" i="2" l="1"/>
  <c r="K1221" i="1"/>
  <c r="K1251" i="1" s="1"/>
  <c r="B403" i="8"/>
  <c r="C42" i="2"/>
  <c r="B437" i="8" l="1"/>
  <c r="C44" i="2"/>
  <c r="B439" i="8" s="1"/>
  <c r="K1253" i="1"/>
  <c r="K1257" i="1"/>
  <c r="C403" i="8"/>
  <c r="D42" i="2"/>
  <c r="C437" i="8" s="1"/>
  <c r="I8" i="2"/>
  <c r="P1270" i="1" l="1"/>
  <c r="Q1270" i="1"/>
  <c r="R1270" i="1"/>
  <c r="I42" i="2"/>
  <c r="H403" i="8"/>
  <c r="G51" i="2" l="1"/>
  <c r="H437" i="8"/>
  <c r="F448" i="8" l="1"/>
  <c r="G52" i="2"/>
  <c r="F449" i="8" l="1"/>
  <c r="G53" i="2"/>
  <c r="F450" i="8" s="1"/>
  <c r="H9" i="5"/>
  <c r="H22" i="5" s="1"/>
  <c r="K1377" i="1"/>
  <c r="O1378" i="1" l="1"/>
  <c r="P1378" i="1"/>
  <c r="K1390" i="1"/>
  <c r="I530" i="8"/>
  <c r="P1419" i="1" l="1"/>
  <c r="O1419" i="1" s="1"/>
  <c r="Q1419" i="1" s="1"/>
  <c r="I543" i="8"/>
  <c r="P1422" i="1"/>
  <c r="O1422" i="1"/>
  <c r="Q1422" i="1" s="1"/>
  <c r="P1418" i="1"/>
  <c r="O1418" i="1" s="1"/>
  <c r="Q1418" i="1" s="1"/>
  <c r="O1403" i="1"/>
  <c r="P1403" i="1"/>
  <c r="Q1403" i="1"/>
  <c r="P1420" i="1"/>
  <c r="O1420" i="1" s="1"/>
  <c r="Q1420" i="1" s="1"/>
  <c r="P1421" i="1"/>
  <c r="O1421" i="1" s="1"/>
  <c r="Q1421" i="1" s="1"/>
  <c r="P1431" i="1"/>
  <c r="O1431" i="1" s="1"/>
  <c r="Q1431" i="1" s="1"/>
  <c r="P1425" i="1"/>
  <c r="O1425" i="1" s="1"/>
  <c r="Q1425" i="1" s="1"/>
  <c r="P1426" i="1"/>
  <c r="O1426" i="1" s="1"/>
  <c r="Q1426" i="1" s="1"/>
  <c r="P1423" i="1"/>
  <c r="O1423" i="1" s="1"/>
  <c r="Q1423" i="1" s="1"/>
  <c r="P1430" i="1"/>
  <c r="O1430" i="1" s="1"/>
  <c r="Q1430" i="1" s="1"/>
  <c r="P1429" i="1"/>
  <c r="O1429" i="1" s="1"/>
  <c r="Q1429" i="1" s="1"/>
  <c r="P1424" i="1"/>
  <c r="O1424" i="1" s="1"/>
  <c r="Q1424" i="1" s="1"/>
  <c r="P1428" i="1"/>
  <c r="O1428" i="1" s="1"/>
  <c r="Q1428" i="1" s="1"/>
  <c r="P1427" i="1"/>
  <c r="O1427" i="1" s="1"/>
  <c r="Q1427"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Christie Wyckoff</author>
  </authors>
  <commentList>
    <comment ref="H1" authorId="0" shapeId="0" xr:uid="{E7E67CEE-6EA4-426E-96C0-DE531AF55D8F}">
      <text>
        <r>
          <rPr>
            <b/>
            <sz val="9"/>
            <color indexed="81"/>
            <rFont val="Tahoma"/>
            <family val="2"/>
          </rPr>
          <t>Christie Wyckoff:</t>
        </r>
        <r>
          <rPr>
            <sz val="9"/>
            <color indexed="81"/>
            <rFont val="Tahoma"/>
            <family val="2"/>
          </rPr>
          <t xml:space="preserve">
The date in this field is used to name the PDF's created using the Tools.xlsm file.</t>
        </r>
      </text>
    </comment>
    <comment ref="L1" authorId="0" shapeId="0" xr:uid="{00000000-0006-0000-0000-000001000000}">
      <text>
        <r>
          <rPr>
            <sz val="9"/>
            <color indexed="81"/>
            <rFont val="Tahoma"/>
            <family val="2"/>
          </rPr>
          <t xml:space="preserve">
This is where the filename pulls from.
</t>
        </r>
      </text>
    </comment>
    <comment ref="Q1" authorId="0" shapeId="0" xr:uid="{00000000-0006-0000-0000-000002000000}">
      <text>
        <r>
          <rPr>
            <sz val="9"/>
            <color indexed="81"/>
            <rFont val="Tahoma"/>
            <family val="2"/>
          </rPr>
          <t xml:space="preserve">
This is where the filename pulls from.</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Christie Wyckoff</author>
  </authors>
  <commentList>
    <comment ref="J1" authorId="0" shapeId="0" xr:uid="{00000000-0006-0000-0100-000001000000}">
      <text>
        <r>
          <rPr>
            <sz val="9"/>
            <color indexed="81"/>
            <rFont val="Tahoma"/>
            <family val="2"/>
          </rPr>
          <t xml:space="preserve">
This is where the filename pulls from.
</t>
        </r>
      </text>
    </comment>
    <comment ref="Q1" authorId="0" shapeId="0" xr:uid="{00000000-0006-0000-0100-000002000000}">
      <text>
        <r>
          <rPr>
            <sz val="9"/>
            <color indexed="81"/>
            <rFont val="Tahoma"/>
            <family val="2"/>
          </rPr>
          <t xml:space="preserve">
This is where the filename pulls from when creating PDF's for Data Central and for dates within the headers.
DO NOT DELETE.</t>
        </r>
      </text>
    </comment>
  </commentList>
</comments>
</file>

<file path=xl/sharedStrings.xml><?xml version="1.0" encoding="utf-8"?>
<sst xmlns="http://schemas.openxmlformats.org/spreadsheetml/2006/main" count="1355" uniqueCount="282">
  <si>
    <t>USD#</t>
  </si>
  <si>
    <t>Code</t>
  </si>
  <si>
    <t>%</t>
  </si>
  <si>
    <t>of</t>
  </si>
  <si>
    <t>Line</t>
  </si>
  <si>
    <t>Actual</t>
  </si>
  <si>
    <t>Budget</t>
  </si>
  <si>
    <t>GRAPH</t>
  </si>
  <si>
    <t>Instruction</t>
  </si>
  <si>
    <t>Summary of total expenditures (All Funds)</t>
  </si>
  <si>
    <t>Student Support</t>
  </si>
  <si>
    <t>Instructional Support</t>
  </si>
  <si>
    <t>Operations &amp; Maintenance</t>
  </si>
  <si>
    <t>Transportation</t>
  </si>
  <si>
    <t>Food Services</t>
  </si>
  <si>
    <t>Capital Improvements</t>
  </si>
  <si>
    <t>Debt Services</t>
  </si>
  <si>
    <t>Other Costs</t>
  </si>
  <si>
    <t>PIE GRAPH</t>
  </si>
  <si>
    <t>Amount per Pupil</t>
  </si>
  <si>
    <t>Summary of General Fund Expenditures</t>
  </si>
  <si>
    <t>Summary of General Fund Expenditures - GRAPH</t>
  </si>
  <si>
    <t>Summary of General Fund Expenditures - Pie</t>
  </si>
  <si>
    <t>Total Expenditures</t>
  </si>
  <si>
    <t>Summary of Supplemental General Fund Expenditures</t>
  </si>
  <si>
    <t>Summary of Supplemental Fund Expenditures - GRAPH</t>
  </si>
  <si>
    <t>Summary of Supplemental Fund Expenditures - PIE</t>
  </si>
  <si>
    <t>Summary of General and Supplemental General Fund</t>
  </si>
  <si>
    <t>General and Supplemental Expenditures-GRAPH</t>
  </si>
  <si>
    <t>PIE</t>
  </si>
  <si>
    <t>Summary of Special Education Fund</t>
  </si>
  <si>
    <t>Summary of Special Education Fund Expenditures-GRAPH</t>
  </si>
  <si>
    <t>Top 3 Instruction Expenditures</t>
  </si>
  <si>
    <t xml:space="preserve">General </t>
  </si>
  <si>
    <t>General</t>
  </si>
  <si>
    <t>Supplemental General</t>
  </si>
  <si>
    <t>Federal Funds</t>
  </si>
  <si>
    <t>Special Education</t>
  </si>
  <si>
    <t>At Risk (4yr Old)</t>
  </si>
  <si>
    <t>Bilingual Education</t>
  </si>
  <si>
    <t>Virtual Education</t>
  </si>
  <si>
    <t>Capital Outlay</t>
  </si>
  <si>
    <t>Driver Education</t>
  </si>
  <si>
    <t>Declining Enrollment</t>
  </si>
  <si>
    <t>Extraordinary School Program</t>
  </si>
  <si>
    <t>Food Service</t>
  </si>
  <si>
    <t>Professional Development</t>
  </si>
  <si>
    <t>Parent Education Program</t>
  </si>
  <si>
    <t>Summer School</t>
  </si>
  <si>
    <t>Cost of Living</t>
  </si>
  <si>
    <t xml:space="preserve">Special Liability </t>
  </si>
  <si>
    <t>School Retirement</t>
  </si>
  <si>
    <t>Extraordinary Growth Facilities</t>
  </si>
  <si>
    <t xml:space="preserve">Special Reserve </t>
  </si>
  <si>
    <t>KPERS Spec. Ret. Contribution</t>
  </si>
  <si>
    <t>Contingency Reserve</t>
  </si>
  <si>
    <t>Text Book &amp; Student Material</t>
  </si>
  <si>
    <t>Activity Fund</t>
  </si>
  <si>
    <t>No-Fund Warrant</t>
  </si>
  <si>
    <t>Special Assessment</t>
  </si>
  <si>
    <t>Temporary Note</t>
  </si>
  <si>
    <t>SUBTOTAL</t>
  </si>
  <si>
    <t>Enrollment (FTE)*</t>
  </si>
  <si>
    <t>Adult Education</t>
  </si>
  <si>
    <t>Adult Supplemental Education</t>
  </si>
  <si>
    <t>Special Education Coop</t>
  </si>
  <si>
    <t>TOTAL</t>
  </si>
  <si>
    <t>Transfers (5200)</t>
  </si>
  <si>
    <t>Transfers</t>
  </si>
  <si>
    <t>Student Support Expenditures (2100)</t>
  </si>
  <si>
    <t>Driver Training</t>
  </si>
  <si>
    <t>Special Liability</t>
  </si>
  <si>
    <t>Special Reserve</t>
  </si>
  <si>
    <t>Instructional Support Expenditures (2200)</t>
  </si>
  <si>
    <t>General Administration Expenditures (2300)</t>
  </si>
  <si>
    <t>Special Liability Expense</t>
  </si>
  <si>
    <t>School Administration Expenditures (2400)</t>
  </si>
  <si>
    <t>Operations and Maintenance Expenditures (2600)</t>
  </si>
  <si>
    <t xml:space="preserve">Text Book &amp; Student Material </t>
  </si>
  <si>
    <t>Transportation Expenditures (2700)</t>
  </si>
  <si>
    <t>FTE Enrollment for Budget Authority</t>
  </si>
  <si>
    <t>Joint graph</t>
  </si>
  <si>
    <t>Number of Students - Free Meals</t>
  </si>
  <si>
    <t>Total Low Income</t>
  </si>
  <si>
    <t>5 years worth</t>
  </si>
  <si>
    <t>FTE for Calculating Amount per Pupil</t>
  </si>
  <si>
    <t>Miscellaneous Information</t>
  </si>
  <si>
    <t>Unencumbered Cash balance by fund</t>
  </si>
  <si>
    <t>TOTAL USD</t>
  </si>
  <si>
    <t>No Fund Warrant</t>
  </si>
  <si>
    <t>Reserve Funds</t>
  </si>
  <si>
    <t>TOTAL OTHER</t>
  </si>
  <si>
    <t>Enrollment Information</t>
  </si>
  <si>
    <t>Mill Rates by Fund</t>
  </si>
  <si>
    <t>Historical Museum</t>
  </si>
  <si>
    <t>Public Library Board</t>
  </si>
  <si>
    <t>Total USD Mill Rates-PIE</t>
  </si>
  <si>
    <t>Total USD Mill Rates</t>
  </si>
  <si>
    <t>Other Information</t>
  </si>
  <si>
    <t>Assessed Valuation</t>
  </si>
  <si>
    <t>Estimated</t>
  </si>
  <si>
    <t>Amount</t>
  </si>
  <si>
    <t>State</t>
  </si>
  <si>
    <t>Federal</t>
  </si>
  <si>
    <t>Local</t>
  </si>
  <si>
    <t>Fund</t>
  </si>
  <si>
    <t>Budgeted</t>
  </si>
  <si>
    <t>Cash Balance</t>
  </si>
  <si>
    <t xml:space="preserve">Interest </t>
  </si>
  <si>
    <t>Other</t>
  </si>
  <si>
    <t>Special Liability Expense Fund</t>
  </si>
  <si>
    <t>Special Reserve Fund</t>
  </si>
  <si>
    <t>Gifts and Grants</t>
  </si>
  <si>
    <t>Textbook &amp; Student Materials Revolving</t>
  </si>
  <si>
    <t xml:space="preserve">KPERS Special Retirement Contribution </t>
  </si>
  <si>
    <t>Activity Funds</t>
  </si>
  <si>
    <t>Coop Special Education</t>
  </si>
  <si>
    <t>xxxxxxxxxxx</t>
  </si>
  <si>
    <t>xxxxxxxxxxxx</t>
  </si>
  <si>
    <t>Less Transfers</t>
  </si>
  <si>
    <t>TOTAL Budget Expenditures</t>
  </si>
  <si>
    <t>State Revenues</t>
  </si>
  <si>
    <t>Federal Revenues</t>
  </si>
  <si>
    <t>Total Revenues</t>
  </si>
  <si>
    <t>Revenues Per Pupil</t>
  </si>
  <si>
    <t>Total Expenditures*</t>
  </si>
  <si>
    <t>Total Expenditures By Function (All Funds)</t>
  </si>
  <si>
    <t>Student Support Services</t>
  </si>
  <si>
    <t>Instructional Support Services</t>
  </si>
  <si>
    <t>Central Services Expenditures (2500)</t>
  </si>
  <si>
    <t>Other Support Services Expenditures (2900)</t>
  </si>
  <si>
    <t>Administration &amp; Support</t>
  </si>
  <si>
    <t>Administraton &amp; Support</t>
  </si>
  <si>
    <t>Total USD Debt</t>
  </si>
  <si>
    <t>Total Expenditures By Function (Most Funds)</t>
  </si>
  <si>
    <t>Total Expenditures Amount Per Pupil By Function (Most Funds)</t>
  </si>
  <si>
    <t>Career and Post-Secondary Ed.</t>
  </si>
  <si>
    <t>Career and Postsecondary Ed.</t>
  </si>
  <si>
    <t>Career and Postsecondary Education</t>
  </si>
  <si>
    <t>n/a</t>
  </si>
  <si>
    <t>Preschool-Aged At-Risk</t>
  </si>
  <si>
    <t>*The funds that are included in the categories above are:  General, Supplemental General, Bilingual Education, Preschool-Aged At-Risk, At Risk(K-12), Virtual Education, Capital Outlay, Driver Education, Extraordinary School Program, Summer School, Special Education, Career and Postsecondary Education, Professional Development, Bond &amp; Interest #1, Bond &amp; Interest #2, No-Fund Warrant, Special Assessment, Parent Education, School Retirement,  Student Materials Revolving &amp; Textbook Rental, Gifts/Grants, KPERS Special Retirement Contribution, Contingency, Special Liability Expense, Federal Funds and Activity Fund.</t>
  </si>
  <si>
    <t>**The funds that are included in the categories above are:  General, Supplemental General, Bilingual Education, Preschool-Aged At-Risk, At Risk(K-12), Virtual Education, Capital Outlay, Driver Education, Extraordinary School Program, Summer School, Special Education, Career and Postsecondary Education, Professional Development, Bond &amp; Interest #1, Bond &amp; Interest #2, No-Fund Warrant, Special Assessment, Parent Education, School Retirement,  Student Materials Revolving &amp; Textbook Rental, Gifts/Grants, KPERS Special Retirement Contribution, Contingency, Special Liability Expense, Federal Funds and Activity Fund.</t>
  </si>
  <si>
    <t>Total</t>
  </si>
  <si>
    <t>Change</t>
  </si>
  <si>
    <t>School districts are authorized by law to self insure rather than purchase insurance for the following categories:</t>
  </si>
  <si>
    <t>Reduced Meal Student Headcount</t>
  </si>
  <si>
    <t>Instruction Expenditures (1000)</t>
  </si>
  <si>
    <t>Free Meal Student Headcount</t>
  </si>
  <si>
    <t>Food Service Expenditures (3100)</t>
  </si>
  <si>
    <t>Community Service Operations Expenditures (3300)</t>
  </si>
  <si>
    <t>Capital Improvement Expenditures (4000)</t>
  </si>
  <si>
    <t>Debt Service Expenditures (5100)</t>
  </si>
  <si>
    <t>Total Expenditures Amount Per Pupil</t>
  </si>
  <si>
    <t>% of</t>
  </si>
  <si>
    <t>Worker's Comp, Health Insurance, Life Insurance, Property and Casualty (Risk Management) and Disability Income Insurance.  Monies are placed in the Self Insured Fund to pay for claims which may arise from the categories listed above.</t>
  </si>
  <si>
    <t>USD #</t>
  </si>
  <si>
    <t>Salaries</t>
  </si>
  <si>
    <t>Current Expenditures</t>
  </si>
  <si>
    <t>Summary of Total Expenditures by Function (All Funds)</t>
  </si>
  <si>
    <t>Unencumbered Cash Balances by Fund</t>
  </si>
  <si>
    <t>Unencumbered Cash Balances</t>
  </si>
  <si>
    <t>Sources of  Revenue</t>
  </si>
  <si>
    <t>by Function (All Funds)</t>
  </si>
  <si>
    <t>=[Codes.xlsx]OPEN!$B$4</t>
  </si>
  <si>
    <r>
      <rPr>
        <b/>
        <u/>
        <sz val="10"/>
        <rFont val="Arial"/>
        <family val="2"/>
      </rPr>
      <t>Note:</t>
    </r>
    <r>
      <rPr>
        <b/>
        <sz val="10"/>
        <rFont val="Arial"/>
        <family val="2"/>
      </rPr>
      <t xml:space="preserve"> </t>
    </r>
    <r>
      <rPr>
        <sz val="10"/>
        <rFont val="Arial"/>
        <family val="2"/>
      </rPr>
      <t>Effective July 1, 2014 (2014-2015 school year) KSA 72-5142 states proceeds from the Ad Valorem taxes levied for the General Fund shall be remitted to the State Treasurer.  Such remittance shall be redistributed as State Foundation (General State) Aid.</t>
    </r>
  </si>
  <si>
    <t>Total Expenditures Per Pupil</t>
  </si>
  <si>
    <t>*FTE Enrollment is based on 9/20 and 2/20, including 4yr old at-risk.  Beginning in the 2017-18 school year, full-day kindergarten is funded as 1.0 FTE.  If the district offered full-day kindergarten in the 2017-18 school year, the 2016-17 kindergarten FTE is funded as 1.0 regardless of attendance.  Includes virtual enrollment.</t>
  </si>
  <si>
    <t>This information is used for charting purposes.</t>
  </si>
  <si>
    <t>Supplemental General (LOB)</t>
  </si>
  <si>
    <t>Public Library Board Employee Benefits</t>
  </si>
  <si>
    <t>Public Library Board &amp; Emp Benefits</t>
  </si>
  <si>
    <r>
      <t>Total Expenditures</t>
    </r>
    <r>
      <rPr>
        <vertAlign val="superscript"/>
        <sz val="10"/>
        <color theme="0"/>
        <rFont val="Open Sans Light"/>
        <family val="2"/>
      </rPr>
      <t>¹</t>
    </r>
  </si>
  <si>
    <r>
      <t>Current Expenditures</t>
    </r>
    <r>
      <rPr>
        <sz val="10"/>
        <color theme="0"/>
        <rFont val="Open Sans Light"/>
        <family val="2"/>
      </rPr>
      <t>²</t>
    </r>
  </si>
  <si>
    <r>
      <t>Percent of Expenditures for Instruction</t>
    </r>
    <r>
      <rPr>
        <sz val="12"/>
        <color rgb="FFB7312C"/>
        <rFont val="Open Sans Light"/>
        <family val="2"/>
      </rPr>
      <t>³</t>
    </r>
  </si>
  <si>
    <t>3.  Instruction excludes Capital Outlay (Code 16) and Bond Debt expenditures (Code 62 &amp; 63)</t>
  </si>
  <si>
    <t>1.  Total expenditures excludes the Special Ed Coop fund because it would include expenditures for all schools participating in the Coop.</t>
  </si>
  <si>
    <r>
      <t>Total Expenditures</t>
    </r>
    <r>
      <rPr>
        <sz val="10"/>
        <color theme="0"/>
        <rFont val="Open Sans Light"/>
        <family val="2"/>
      </rPr>
      <t>¹</t>
    </r>
  </si>
  <si>
    <r>
      <t>Gifts &amp; Grants</t>
    </r>
    <r>
      <rPr>
        <sz val="10"/>
        <rFont val="Open Sans Light"/>
        <family val="2"/>
      </rPr>
      <t>¹</t>
    </r>
  </si>
  <si>
    <t>1.  Gifts &amp; Grants includes private grants and grants from non-federal sources.</t>
  </si>
  <si>
    <t>2.  Amount per pupil excludes the following funds:  Adult Education, Adult Supplemental Education, and Special Education Coop.</t>
  </si>
  <si>
    <r>
      <t>Enrollment (FTE)</t>
    </r>
    <r>
      <rPr>
        <sz val="10"/>
        <rFont val="Open Sans Light"/>
        <family val="2"/>
      </rPr>
      <t>³</t>
    </r>
  </si>
  <si>
    <r>
      <t>Amount per Pupil</t>
    </r>
    <r>
      <rPr>
        <sz val="10"/>
        <rFont val="Open Sans Light"/>
        <family val="2"/>
      </rPr>
      <t>²</t>
    </r>
  </si>
  <si>
    <r>
      <t>FTE Enrollment (excl. Virtual)</t>
    </r>
    <r>
      <rPr>
        <sz val="10"/>
        <rFont val="Open Sans Light"/>
        <family val="2"/>
      </rPr>
      <t>¹</t>
    </r>
  </si>
  <si>
    <r>
      <t>FTE Enrollment (incl. Virtual)</t>
    </r>
    <r>
      <rPr>
        <sz val="10"/>
        <rFont val="Open Sans Light"/>
        <family val="2"/>
      </rPr>
      <t>¹</t>
    </r>
  </si>
  <si>
    <t>by Function*</t>
  </si>
  <si>
    <t>*The Summary of General Fund Expenditures by Function comes from pages 6-13 and only uses the "General Fund" line items.</t>
  </si>
  <si>
    <t>*The Summary of Supplemental General Fund Expenditures by Function comes from pages 6-13 and only uses the "Supplemental General Fund" line items.</t>
  </si>
  <si>
    <t>Expenditures by Function*</t>
  </si>
  <si>
    <t>*The Summary of General and Supplemental General Fund Expenditures by Function comes from pages 6-13 and is the sum of the "General Fund" and 
"Supplemental General Fund" line items.</t>
  </si>
  <si>
    <t xml:space="preserve">*The Summary of Special Education Fund Expenditures by Function comes from pages 6-13 and only uses the "Special Education Fund" line items. </t>
  </si>
  <si>
    <t>1.  FTE Enrollment includes 9/20 and 2/20 counts, Preschool-Aged At-Risk (4 year olds).  Beginning in the 2017-2018 school year, full-day Kindergarten is funded as 1.0 FTE.
     KAMS FTE is excluded.</t>
  </si>
  <si>
    <r>
      <t>Total Expenditures</t>
    </r>
    <r>
      <rPr>
        <b/>
        <sz val="10"/>
        <color theme="0"/>
        <rFont val="Open Sans Light"/>
        <family val="2"/>
      </rPr>
      <t>¹</t>
    </r>
  </si>
  <si>
    <r>
      <t>Enrollment (FTE)</t>
    </r>
    <r>
      <rPr>
        <sz val="10"/>
        <rFont val="Open Sans Light"/>
        <family val="2"/>
      </rPr>
      <t>²</t>
    </r>
  </si>
  <si>
    <t>2.  FTE enrollment includes 9/20 and 2/20 counts, Preschool-Aged At-Risk (4 year old) and Virtual.  Beginning in 2017-2018, full-day Kindergarten is funded as 1.0 FTE.</t>
  </si>
  <si>
    <t>1.  Excludes "Transfers" to avoid duplication of revenue.</t>
  </si>
  <si>
    <r>
      <t>Local Revenues</t>
    </r>
    <r>
      <rPr>
        <sz val="10"/>
        <rFont val="Open Sans Light"/>
        <family val="2"/>
      </rPr>
      <t>¹</t>
    </r>
  </si>
  <si>
    <t>Budget at a Glance</t>
  </si>
  <si>
    <t>Table of Contents</t>
  </si>
  <si>
    <t>Kansas leads the world in the success of each student.</t>
  </si>
  <si>
    <t>Total Expenditures Amount Per Pupil by Function (All Funds)</t>
  </si>
  <si>
    <t>Summary of General and 
Supplemental General Fund Expenditures…………………………………………………………..</t>
  </si>
  <si>
    <t>Total Expenditures Amount per Pupil by Function (All Funds)…………………………………..</t>
  </si>
  <si>
    <t>Total Expenditures by Function (All Funds)………….……………………………………………..</t>
  </si>
  <si>
    <t>Summary of Total Expenditures by Function (All Funds)…………………………………………</t>
  </si>
  <si>
    <t>Instruction Expenses…………………………………………………………………………………….</t>
  </si>
  <si>
    <t>Enrollment and Low Income Students………………………………………………………………..</t>
  </si>
  <si>
    <t>Mill Rates by Fund……………………………………………………………...…………………………</t>
  </si>
  <si>
    <t>Assessed Valuation and Bonded Indebtedness…………………….……………………………..</t>
  </si>
  <si>
    <t>Average Salary…………………………………………………………………………………………….</t>
  </si>
  <si>
    <t>District Reports……………………………………………………………………………………………</t>
  </si>
  <si>
    <t>Enrollment  Information</t>
  </si>
  <si>
    <t>Public School District Reports</t>
  </si>
  <si>
    <t>KSDE's Data Central</t>
  </si>
  <si>
    <t>Kansas K-12 Reports</t>
  </si>
  <si>
    <t>• Attendance &amp; Enrollment</t>
  </si>
  <si>
    <t>• Inclement Weather &amp; In-Service Date</t>
  </si>
  <si>
    <t>• Graduate &amp; Dropout</t>
  </si>
  <si>
    <t>• Crime</t>
  </si>
  <si>
    <t>• Building</t>
  </si>
  <si>
    <t>• Personnel (Certified &amp; Non-Certified)</t>
  </si>
  <si>
    <t>• Suspension &amp; Expulsion</t>
  </si>
  <si>
    <t>• Transportation</t>
  </si>
  <si>
    <t>Warehouse</t>
  </si>
  <si>
    <t>• Assessed Valuation</t>
  </si>
  <si>
    <t>• Cash Balance</t>
  </si>
  <si>
    <t>• Headcount Enrollment</t>
  </si>
  <si>
    <t>• Mill Levies</t>
  </si>
  <si>
    <t>• Salary</t>
  </si>
  <si>
    <t>• Bond</t>
  </si>
  <si>
    <t>• State Foundation Aid &amp; LOB</t>
  </si>
  <si>
    <t>• Expenditure</t>
  </si>
  <si>
    <t>• Kindergarten Formats</t>
  </si>
  <si>
    <t>• Meal Pricing</t>
  </si>
  <si>
    <t>• Pupil to Teacher Ratio</t>
  </si>
  <si>
    <t>Comparitive Performance &amp; Fiscal System (CPFS)</t>
  </si>
  <si>
    <t>Budget Reports by Fund, Function and Object Code.</t>
  </si>
  <si>
    <t>Budgets</t>
  </si>
  <si>
    <t>Budget, At a Glance, Profile, Form 150, and Summary.</t>
  </si>
  <si>
    <t>CPA Reports</t>
  </si>
  <si>
    <t>School District Funding Report</t>
  </si>
  <si>
    <t>School Finance Reports</t>
  </si>
  <si>
    <t>Kansas State Building Report Card</t>
  </si>
  <si>
    <t>• Attendance Rate</t>
  </si>
  <si>
    <t>• IDEA Performance Plan</t>
  </si>
  <si>
    <t>• Performance Level</t>
  </si>
  <si>
    <t>• School Violence</t>
  </si>
  <si>
    <t>• Assessments (NAEP)</t>
  </si>
  <si>
    <t xml:space="preserve">  - Reading</t>
  </si>
  <si>
    <t xml:space="preserve">  - Mathematics</t>
  </si>
  <si>
    <t>• Enrollment</t>
  </si>
  <si>
    <t>• ACT Scores</t>
  </si>
  <si>
    <t>• Similar Schools</t>
  </si>
  <si>
    <t>• Grade Range</t>
  </si>
  <si>
    <t>• Title I status</t>
  </si>
  <si>
    <t>• Website &amp; Contact info</t>
  </si>
  <si>
    <t>• Post-Secondary Progress</t>
  </si>
  <si>
    <t>• Dropout and Graduation Rate &amp; Post-Secondary Progress</t>
  </si>
  <si>
    <t>• Teacher Quality</t>
  </si>
  <si>
    <t>• Demographic</t>
  </si>
  <si>
    <t xml:space="preserve"> Budget at a Glance</t>
  </si>
  <si>
    <t>Budget at-a-Glance</t>
  </si>
  <si>
    <t>Pie Charts with Missing Labels</t>
  </si>
  <si>
    <t>1. Go to the chart that has missing labels.</t>
  </si>
  <si>
    <t>3. Click on any cell outside of the chart to unselect the single label.</t>
  </si>
  <si>
    <t xml:space="preserve">4. Single Click on a label that is visible </t>
  </si>
  <si>
    <t xml:space="preserve"> The “Format Data Labels” menu should appear on the right side of the window.</t>
  </si>
  <si>
    <t>Tip: You may click and drag around the labels where you want them so they are not overlapping and are legible when printed.</t>
  </si>
  <si>
    <t xml:space="preserve">5. On the Format Data Labels menu, uncheck “Value From Cells”, “Value” and “Show Leader Lines”, then re-check “Value From Cells”, “Value” and “Show Leader Lines”.  The screenshot below shows what should be checked before moving onto the next step. </t>
  </si>
  <si>
    <t>6. On the Format Data Labels menu, click on “Reset Label Text” button.</t>
  </si>
  <si>
    <t>o    If only one label is selected, not all, click out of the chart in a different cell, then single click on a visible label.  It may take a couple of tries to get them all selected as shown below.</t>
  </si>
  <si>
    <t>Since only data applicable to the USD is charted, sometimes the labels on the pie charts don’t always show up.  Please follow the steps below to get the missing labels to display.</t>
  </si>
  <si>
    <t>2. Double click a visible label.</t>
  </si>
  <si>
    <r>
      <t>·</t>
    </r>
    <r>
      <rPr>
        <sz val="7"/>
        <color theme="1"/>
        <rFont val="Times New Roman"/>
        <family val="1"/>
      </rPr>
      <t xml:space="preserve">         </t>
    </r>
    <r>
      <rPr>
        <sz val="10"/>
        <color theme="1"/>
        <rFont val="Arial"/>
        <family val="2"/>
      </rPr>
      <t>do not double click, just single click</t>
    </r>
  </si>
  <si>
    <r>
      <t>§</t>
    </r>
    <r>
      <rPr>
        <sz val="7"/>
        <color theme="1"/>
        <rFont val="Times New Roman"/>
        <family val="1"/>
      </rPr>
      <t xml:space="preserve">  </t>
    </r>
    <r>
      <rPr>
        <sz val="10"/>
        <color theme="1"/>
        <rFont val="Arial"/>
        <family val="2"/>
      </rPr>
      <t>Notice the missing label box (circled in red in the screenshot below) is empty.</t>
    </r>
  </si>
  <si>
    <r>
      <t>·</t>
    </r>
    <r>
      <rPr>
        <sz val="7"/>
        <color theme="1"/>
        <rFont val="Times New Roman"/>
        <family val="1"/>
      </rPr>
      <t xml:space="preserve">         </t>
    </r>
    <r>
      <rPr>
        <sz val="10"/>
        <color theme="1"/>
        <rFont val="Arial"/>
        <family val="2"/>
      </rPr>
      <t xml:space="preserve">All labels should be visible now. </t>
    </r>
  </si>
  <si>
    <t>1.  Funds Included: (06) General, (07) Federal Funds, (08) Supplemental General, (10) Adult Education, (11) Preschool-Aged At-Risk, (12) Adult Supplemental Education,
     (13) At-Risk Education Fund, (14) Bilingual Education, (15) Virtual Education, (16) Capital Outlay, (18) Driver Education, (22) Extraordinary School Program, (26) Professional Development, 
     (28) Parent Education, (29) Summer School, (30) Special Education, (34) Career and Postsecondary Education, (35) Gifts &amp; Grants, (42) Special Liability Expense, 
     (44) School Retirement, (51) KPERS Special Retirement Contribution, (53) Contingency Reserve, (55) Textbook &amp; Student Material Revolving, (56) Activity Fund, (62) Bond &amp;
     Interest #1, (63) Bond &amp; Interest #2, (66) No-Fund Warrant, (67) Special Assessment, and (78) Special Education Coop Fund.
     Note: The Budgeted Total Expenditures may not match Code 99 due to budgeted transfers from (06) General and (08) Supplemental General to (53) Contingency Reserve 
     and (55) Textbook &amp; Student Material Revolving, which are not budgeted funds.</t>
  </si>
  <si>
    <t>At-Risk Education Fund</t>
  </si>
  <si>
    <r>
      <t xml:space="preserve">2. </t>
    </r>
    <r>
      <rPr>
        <vertAlign val="superscript"/>
        <sz val="8.5"/>
        <rFont val="Arial"/>
        <family val="2"/>
      </rPr>
      <t xml:space="preserve"> </t>
    </r>
    <r>
      <rPr>
        <sz val="8.5"/>
        <rFont val="Arial"/>
        <family val="2"/>
      </rPr>
      <t>Current Expenditures</t>
    </r>
    <r>
      <rPr>
        <vertAlign val="superscript"/>
        <sz val="8.5"/>
        <rFont val="Arial"/>
        <family val="2"/>
      </rPr>
      <t xml:space="preserve"> </t>
    </r>
    <r>
      <rPr>
        <sz val="8.5"/>
        <rFont val="Arial"/>
        <family val="2"/>
      </rPr>
      <t>excludes Capital Outlay (Code 16) and Bond Debt expenditures (Code 62 &amp; 63)</t>
    </r>
  </si>
  <si>
    <r>
      <t>Functions Included:</t>
    </r>
    <r>
      <rPr>
        <sz val="8.5"/>
        <rFont val="Arial"/>
        <family val="2"/>
      </rPr>
      <t xml:space="preserve"> Instruction (1000), Student Support Services (2100), Instructional Support Services (2200), Administration &amp; Support (2300, 2400, 2500),
                                    Operations &amp; Maintenance (2600), Transportation (2700), Food Service (3100), Other Costs (2900, 3300), Capital Improvements (4000),
                                    Debt Services (5100) and Transfers (5200)</t>
    </r>
  </si>
  <si>
    <t>3.  FTE enrollment includes 9/20 and 2/20 counts, Preschool-Aged At-Risk (3 and 4 year old) and Virtual; excludes KAMS.  Beginning in 2017-2018, full-day Kindergarten is 
     funded as 1.0 FTE.</t>
  </si>
  <si>
    <t>Preschool-Aged At-Risk (3 and 4 yr Old)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</si>
</sst>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5" formatCode="&quot;$&quot;#,##0_);\(&quot;$&quot;#,##0\)"/>
    <numFmt numFmtId="164" formatCode="&quot;$&quot;#,##0"/>
    <numFmt numFmtId="165" formatCode="#,##0.000"/>
    <numFmt numFmtId="166" formatCode="#,##0.0"/>
    <numFmt numFmtId="167" formatCode="mmmm\ d\,\ yyyy"/>
    <numFmt numFmtId="168" formatCode="0.0"/>
    <numFmt numFmtId="169" formatCode="00"/>
    <numFmt numFmtId="170" formatCode="0.000"/>
  </numFmts>
  <fonts count="86">
    <font>
      <sz val="11"/>
      <color theme="1"/>
      <name val="Calibri"/>
      <family val="2"/>
      <scheme val="minor"/>
    </font>
    <font>
      <sz val="10"/>
      <color theme="1"/>
      <name val="Open Sans Light"/>
      <family val="2"/>
    </font>
    <font>
      <sz val="10"/>
      <name val="Arial"/>
      <family val="2"/>
    </font>
    <font>
      <u/>
      <sz val="10"/>
      <name val="Arial"/>
      <family val="2"/>
    </font>
    <font>
      <b/>
      <sz val="12"/>
      <name val="Arial"/>
      <family val="2"/>
    </font>
    <font>
      <b/>
      <sz val="10"/>
      <name val="Arial"/>
      <family val="2"/>
    </font>
    <font>
      <sz val="10"/>
      <color indexed="10"/>
      <name val="Arial"/>
      <family val="2"/>
    </font>
    <font>
      <sz val="10"/>
      <color rgb="FFFF0000"/>
      <name val="Arial"/>
      <family val="2"/>
    </font>
    <font>
      <sz val="10"/>
      <color rgb="FF0070C0"/>
      <name val="Arial"/>
      <family val="2"/>
    </font>
    <font>
      <sz val="10"/>
      <name val="Geneva"/>
    </font>
    <font>
      <sz val="9"/>
      <name val="Geneva"/>
    </font>
    <font>
      <i/>
      <sz val="10"/>
      <color theme="1"/>
      <name val="Calibri"/>
      <family val="2"/>
      <scheme val="minor"/>
    </font>
    <font>
      <sz val="9"/>
      <color indexed="81"/>
      <name val="Tahoma"/>
      <family val="2"/>
    </font>
    <font>
      <b/>
      <sz val="9"/>
      <color indexed="81"/>
      <name val="Tahoma"/>
      <family val="2"/>
    </font>
    <font>
      <sz val="11"/>
      <color theme="1"/>
      <name val="Arial"/>
      <family val="2"/>
    </font>
    <font>
      <sz val="10"/>
      <color theme="0"/>
      <name val="Arial"/>
      <family val="2"/>
    </font>
    <font>
      <b/>
      <sz val="14"/>
      <color rgb="FF12284C"/>
      <name val="Arial"/>
      <family val="2"/>
    </font>
    <font>
      <sz val="11"/>
      <color rgb="FFFF0000"/>
      <name val="Arial"/>
      <family val="2"/>
    </font>
    <font>
      <sz val="11"/>
      <name val="Arial"/>
      <family val="2"/>
    </font>
    <font>
      <b/>
      <sz val="14"/>
      <name val="Arial"/>
      <family val="2"/>
    </font>
    <font>
      <sz val="10"/>
      <color theme="1"/>
      <name val="Arial"/>
      <family val="2"/>
    </font>
    <font>
      <b/>
      <u/>
      <sz val="10"/>
      <name val="Arial"/>
      <family val="2"/>
    </font>
    <font>
      <sz val="20"/>
      <color theme="1"/>
      <name val="Arial"/>
      <family val="2"/>
    </font>
    <font>
      <sz val="14"/>
      <color rgb="FFB7312C"/>
      <name val="Arial"/>
      <family val="2"/>
    </font>
    <font>
      <b/>
      <sz val="10"/>
      <color theme="0"/>
      <name val="Arial"/>
      <family val="2"/>
    </font>
    <font>
      <sz val="12"/>
      <color rgb="FFB7312C"/>
      <name val="Arial"/>
      <family val="2"/>
    </font>
    <font>
      <sz val="9"/>
      <name val="Arial"/>
      <family val="2"/>
    </font>
    <font>
      <i/>
      <sz val="9"/>
      <name val="Arial"/>
      <family val="2"/>
    </font>
    <font>
      <sz val="9"/>
      <color theme="1"/>
      <name val="Arial"/>
      <family val="2"/>
    </font>
    <font>
      <b/>
      <sz val="14"/>
      <color rgb="FF005587"/>
      <name val="Arial"/>
      <family val="2"/>
    </font>
    <font>
      <sz val="14"/>
      <color rgb="FF00B796"/>
      <name val="Arial"/>
      <family val="2"/>
    </font>
    <font>
      <i/>
      <sz val="10"/>
      <name val="Arial"/>
      <family val="2"/>
    </font>
    <font>
      <b/>
      <sz val="14"/>
      <color rgb="FFD50032"/>
      <name val="Arial"/>
      <family val="2"/>
    </font>
    <font>
      <b/>
      <sz val="14"/>
      <color rgb="FF53565A"/>
      <name val="Arial"/>
      <family val="2"/>
    </font>
    <font>
      <sz val="10"/>
      <color rgb="FF4F6228"/>
      <name val="Arial"/>
      <family val="2"/>
    </font>
    <font>
      <sz val="10"/>
      <color rgb="FFFFFFFF"/>
      <name val="Arial"/>
      <family val="2"/>
    </font>
    <font>
      <sz val="12"/>
      <name val="Arial"/>
      <family val="2"/>
    </font>
    <font>
      <sz val="8"/>
      <name val="Arial"/>
      <family val="2"/>
    </font>
    <font>
      <b/>
      <sz val="14"/>
      <color rgb="FF00B796"/>
      <name val="Arial"/>
      <family val="2"/>
    </font>
    <font>
      <i/>
      <u/>
      <sz val="9"/>
      <name val="Arial"/>
      <family val="2"/>
    </font>
    <font>
      <sz val="10"/>
      <color rgb="FF00B050"/>
      <name val="Arial"/>
      <family val="2"/>
    </font>
    <font>
      <sz val="10"/>
      <color rgb="FF333399"/>
      <name val="Arial"/>
      <family val="2"/>
    </font>
    <font>
      <b/>
      <sz val="14"/>
      <color rgb="FFB7312C"/>
      <name val="Arial"/>
      <family val="2"/>
    </font>
    <font>
      <b/>
      <sz val="11"/>
      <color theme="1"/>
      <name val="Arial"/>
      <family val="2"/>
    </font>
    <font>
      <u/>
      <sz val="10"/>
      <color theme="1"/>
      <name val="Arial"/>
      <family val="2"/>
    </font>
    <font>
      <u/>
      <sz val="9"/>
      <color theme="1"/>
      <name val="Arial"/>
      <family val="2"/>
    </font>
    <font>
      <sz val="9.5"/>
      <name val="Arial"/>
      <family val="2"/>
    </font>
    <font>
      <b/>
      <sz val="10"/>
      <color theme="0"/>
      <name val="Open Sans Light"/>
      <family val="2"/>
    </font>
    <font>
      <sz val="10"/>
      <color theme="0"/>
      <name val="Open Sans Light"/>
      <family val="2"/>
    </font>
    <font>
      <vertAlign val="superscript"/>
      <sz val="10"/>
      <color theme="0"/>
      <name val="Open Sans Light"/>
      <family val="2"/>
    </font>
    <font>
      <sz val="12"/>
      <color rgb="FFB7312C"/>
      <name val="Open Sans Light"/>
      <family val="2"/>
    </font>
    <font>
      <sz val="10"/>
      <name val="Open Sans Light"/>
      <family val="2"/>
    </font>
    <font>
      <u/>
      <sz val="11"/>
      <color theme="10"/>
      <name val="Calibri"/>
      <family val="2"/>
      <scheme val="minor"/>
    </font>
    <font>
      <sz val="14"/>
      <color theme="1"/>
      <name val="Arial"/>
      <family val="2"/>
    </font>
    <font>
      <sz val="11"/>
      <color rgb="FF005587"/>
      <name val="Arial"/>
      <family val="2"/>
    </font>
    <font>
      <sz val="18"/>
      <color rgb="FF12284C"/>
      <name val="Open Sans Light"/>
      <family val="2"/>
    </font>
    <font>
      <b/>
      <sz val="24"/>
      <color rgb="FF12284C"/>
      <name val="Open Sans"/>
      <family val="2"/>
    </font>
    <font>
      <b/>
      <sz val="18"/>
      <color rgb="FFD50032"/>
      <name val="Arial"/>
      <family val="2"/>
    </font>
    <font>
      <sz val="7"/>
      <name val="Arial"/>
      <family val="2"/>
    </font>
    <font>
      <b/>
      <sz val="64.5"/>
      <color rgb="FF12284C"/>
      <name val="Arial"/>
      <family val="2"/>
    </font>
    <font>
      <b/>
      <sz val="64.5"/>
      <color rgb="FF005587"/>
      <name val="Arial"/>
      <family val="2"/>
    </font>
    <font>
      <sz val="23.2"/>
      <color rgb="FF00B796"/>
      <name val="Arial"/>
      <family val="2"/>
    </font>
    <font>
      <b/>
      <sz val="23.2"/>
      <color rgb="FFD50032"/>
      <name val="Arial"/>
      <family val="2"/>
    </font>
    <font>
      <i/>
      <sz val="15.5"/>
      <color rgb="FF12284C"/>
      <name val="Arial Narrow"/>
      <family val="2"/>
    </font>
    <font>
      <sz val="23"/>
      <color rgb="FF12284C"/>
      <name val="Arial Narrow"/>
      <family val="2"/>
    </font>
    <font>
      <b/>
      <sz val="30.95"/>
      <color rgb="FF12284C"/>
      <name val="Arial"/>
      <family val="2"/>
    </font>
    <font>
      <b/>
      <sz val="15.5"/>
      <name val="Arial"/>
      <family val="2"/>
    </font>
    <font>
      <sz val="10"/>
      <color theme="1"/>
      <name val="Calibri"/>
      <family val="2"/>
      <scheme val="minor"/>
    </font>
    <font>
      <b/>
      <sz val="10"/>
      <name val="Arial Narrow"/>
      <family val="2"/>
    </font>
    <font>
      <sz val="10"/>
      <name val="Arial Narrow"/>
      <family val="2"/>
    </font>
    <font>
      <u/>
      <sz val="25.8"/>
      <color rgb="FF005587"/>
      <name val="Arial"/>
      <family val="2"/>
    </font>
    <font>
      <u/>
      <sz val="20"/>
      <color rgb="FF005587"/>
      <name val="Arial Narrow"/>
      <family val="2"/>
    </font>
    <font>
      <sz val="14.2"/>
      <color theme="1"/>
      <name val="Arial"/>
      <family val="2"/>
    </font>
    <font>
      <sz val="20"/>
      <color theme="1"/>
      <name val="Arial Narrow"/>
      <family val="2"/>
    </font>
    <font>
      <u/>
      <sz val="18"/>
      <color rgb="FF005587"/>
      <name val="Arial Narrow"/>
      <family val="2"/>
    </font>
    <font>
      <u/>
      <sz val="14"/>
      <color rgb="FF005587"/>
      <name val="Arial Narrow"/>
      <family val="2"/>
    </font>
    <font>
      <sz val="16"/>
      <color theme="1"/>
      <name val="Arial"/>
      <family val="2"/>
    </font>
    <font>
      <b/>
      <sz val="10"/>
      <color theme="1"/>
      <name val="Arial"/>
      <family val="2"/>
    </font>
    <font>
      <sz val="7"/>
      <color theme="1"/>
      <name val="Times New Roman"/>
      <family val="1"/>
    </font>
    <font>
      <sz val="10"/>
      <color rgb="FFD50032"/>
      <name val="Arial"/>
      <family val="2"/>
    </font>
    <font>
      <sz val="10"/>
      <color theme="1"/>
      <name val="Symbol"/>
      <family val="1"/>
      <charset val="2"/>
    </font>
    <font>
      <sz val="10"/>
      <color theme="1"/>
      <name val="Wingdings"/>
      <charset val="2"/>
    </font>
    <font>
      <sz val="8.5"/>
      <name val="Arial"/>
      <family val="2"/>
    </font>
    <font>
      <vertAlign val="superscript"/>
      <sz val="8.5"/>
      <name val="Arial"/>
      <family val="2"/>
    </font>
    <font>
      <u/>
      <sz val="8.5"/>
      <name val="Arial"/>
      <family val="2"/>
    </font>
    <font>
      <b/>
      <u/>
      <sz val="8.5"/>
      <name val="Arial"/>
      <family val="2"/>
    </font>
  </fonts>
  <fills count="21">
    <fill>
      <patternFill patternType="none"/>
    </fill>
    <fill>
      <patternFill patternType="gray125"/>
    </fill>
    <fill>
      <patternFill patternType="solid">
        <fgColor indexed="22"/>
        <bgColor indexed="64"/>
      </patternFill>
    </fill>
    <fill>
      <patternFill patternType="solid">
        <fgColor rgb="FFCCFFCC"/>
        <bgColor rgb="FF000000"/>
      </patternFill>
    </fill>
    <fill>
      <patternFill patternType="solid">
        <fgColor rgb="FFFFFFFF"/>
        <bgColor rgb="FF000000"/>
      </patternFill>
    </fill>
    <fill>
      <patternFill patternType="solid">
        <fgColor theme="0" tint="-0.249977111117893"/>
        <bgColor indexed="64"/>
      </patternFill>
    </fill>
    <fill>
      <patternFill patternType="solid">
        <fgColor rgb="FF53565A"/>
        <bgColor indexed="64"/>
      </patternFill>
    </fill>
    <fill>
      <patternFill patternType="solid">
        <fgColor rgb="FF005587"/>
        <bgColor indexed="64"/>
      </patternFill>
    </fill>
    <fill>
      <patternFill patternType="solid">
        <fgColor rgb="FF12284C"/>
        <bgColor indexed="64"/>
      </patternFill>
    </fill>
    <fill>
      <patternFill patternType="solid">
        <fgColor rgb="FFB7312C"/>
        <bgColor indexed="64"/>
      </patternFill>
    </fill>
    <fill>
      <patternFill patternType="solid">
        <fgColor theme="1"/>
        <bgColor indexed="64"/>
      </patternFill>
    </fill>
    <fill>
      <patternFill patternType="solid">
        <fgColor rgb="FFF7DEDD"/>
        <bgColor indexed="64"/>
      </patternFill>
    </fill>
    <fill>
      <patternFill patternType="solid">
        <fgColor rgb="FFDDF2FF"/>
        <bgColor indexed="64"/>
      </patternFill>
    </fill>
    <fill>
      <patternFill patternType="solid">
        <fgColor rgb="FF00B796"/>
        <bgColor indexed="64"/>
      </patternFill>
    </fill>
    <fill>
      <patternFill patternType="solid">
        <fgColor rgb="FF9FFFED"/>
        <bgColor indexed="64"/>
      </patternFill>
    </fill>
    <fill>
      <patternFill patternType="solid">
        <fgColor rgb="FFD50032"/>
        <bgColor indexed="64"/>
      </patternFill>
    </fill>
    <fill>
      <patternFill patternType="solid">
        <fgColor rgb="FFC6D7F2"/>
        <bgColor indexed="64"/>
      </patternFill>
    </fill>
    <fill>
      <patternFill patternType="solid">
        <fgColor theme="1"/>
        <bgColor rgb="FF000000"/>
      </patternFill>
    </fill>
    <fill>
      <patternFill patternType="solid">
        <fgColor rgb="FFC2C4C6"/>
        <bgColor indexed="64"/>
      </patternFill>
    </fill>
    <fill>
      <patternFill patternType="solid">
        <fgColor rgb="FFC2C4C6"/>
        <bgColor rgb="FF000000"/>
      </patternFill>
    </fill>
    <fill>
      <patternFill patternType="solid">
        <fgColor rgb="FF53565A"/>
        <bgColor rgb="FF000000"/>
      </patternFill>
    </fill>
  </fills>
  <borders count="98">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right style="thin">
        <color indexed="64"/>
      </right>
      <top/>
      <bottom style="thin">
        <color indexed="64"/>
      </bottom>
      <diagonal/>
    </border>
    <border>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double">
        <color indexed="64"/>
      </top>
      <bottom style="medium">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theme="0"/>
      </left>
      <right style="thin">
        <color indexed="64"/>
      </right>
      <top style="thin">
        <color theme="0"/>
      </top>
      <bottom style="thin">
        <color theme="0"/>
      </bottom>
      <diagonal/>
    </border>
    <border>
      <left style="thin">
        <color indexed="64"/>
      </left>
      <right style="thin">
        <color theme="0"/>
      </right>
      <top style="thin">
        <color indexed="64"/>
      </top>
      <bottom style="thin">
        <color indexed="64"/>
      </bottom>
      <diagonal/>
    </border>
    <border>
      <left style="thin">
        <color indexed="64"/>
      </left>
      <right style="thin">
        <color theme="0"/>
      </right>
      <top style="thin">
        <color indexed="64"/>
      </top>
      <bottom style="thin">
        <color theme="0"/>
      </bottom>
      <diagonal/>
    </border>
    <border>
      <left style="thin">
        <color indexed="64"/>
      </left>
      <right style="thin">
        <color theme="0"/>
      </right>
      <top style="thin">
        <color theme="0"/>
      </top>
      <bottom style="thin">
        <color theme="0"/>
      </bottom>
      <diagonal/>
    </border>
    <border>
      <left style="thin">
        <color indexed="64"/>
      </left>
      <right style="thin">
        <color theme="0"/>
      </right>
      <top style="thin">
        <color theme="0"/>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medium">
        <color indexed="64"/>
      </top>
      <bottom style="thin">
        <color indexed="64"/>
      </bottom>
      <diagonal/>
    </border>
    <border>
      <left style="thin">
        <color theme="0"/>
      </left>
      <right style="thin">
        <color indexed="64"/>
      </right>
      <top style="thin">
        <color indexed="64"/>
      </top>
      <bottom style="thin">
        <color theme="0"/>
      </bottom>
      <diagonal/>
    </border>
    <border>
      <left style="thin">
        <color theme="0"/>
      </left>
      <right style="thin">
        <color indexed="64"/>
      </right>
      <top style="thin">
        <color theme="0"/>
      </top>
      <bottom style="thin">
        <color indexed="64"/>
      </bottom>
      <diagonal/>
    </border>
    <border>
      <left style="thin">
        <color indexed="64"/>
      </left>
      <right style="thin">
        <color indexed="64"/>
      </right>
      <top style="double">
        <color theme="0"/>
      </top>
      <bottom style="thin">
        <color indexed="64"/>
      </bottom>
      <diagonal/>
    </border>
    <border>
      <left style="thin">
        <color indexed="64"/>
      </left>
      <right/>
      <top style="double">
        <color theme="0"/>
      </top>
      <bottom style="thin">
        <color indexed="64"/>
      </bottom>
      <diagonal/>
    </border>
    <border>
      <left style="thin">
        <color indexed="64"/>
      </left>
      <right/>
      <top/>
      <bottom style="medium">
        <color indexed="64"/>
      </bottom>
      <diagonal/>
    </border>
    <border>
      <left style="thin">
        <color indexed="64"/>
      </left>
      <right/>
      <top style="double">
        <color theme="0"/>
      </top>
      <bottom/>
      <diagonal/>
    </border>
    <border>
      <left style="thin">
        <color indexed="64"/>
      </left>
      <right style="thin">
        <color indexed="64"/>
      </right>
      <top/>
      <bottom style="double">
        <color theme="0"/>
      </bottom>
      <diagonal/>
    </border>
    <border>
      <left/>
      <right/>
      <top style="double">
        <color theme="0"/>
      </top>
      <bottom style="thin">
        <color indexed="64"/>
      </bottom>
      <diagonal/>
    </border>
    <border>
      <left/>
      <right style="thin">
        <color indexed="64"/>
      </right>
      <top style="double">
        <color theme="0"/>
      </top>
      <bottom style="thin">
        <color indexed="64"/>
      </bottom>
      <diagonal/>
    </border>
    <border>
      <left/>
      <right style="thin">
        <color indexed="64"/>
      </right>
      <top style="double">
        <color theme="0"/>
      </top>
      <bottom/>
      <diagonal/>
    </border>
    <border>
      <left style="thin">
        <color indexed="64"/>
      </left>
      <right/>
      <top/>
      <bottom style="double">
        <color theme="0"/>
      </bottom>
      <diagonal/>
    </border>
    <border>
      <left/>
      <right style="thin">
        <color indexed="64"/>
      </right>
      <top/>
      <bottom style="double">
        <color theme="0"/>
      </bottom>
      <diagonal/>
    </border>
    <border>
      <left style="thin">
        <color indexed="64"/>
      </left>
      <right style="thin">
        <color indexed="64"/>
      </right>
      <top style="thin">
        <color indexed="64"/>
      </top>
      <bottom style="double">
        <color theme="0"/>
      </bottom>
      <diagonal/>
    </border>
    <border>
      <left style="thin">
        <color indexed="64"/>
      </left>
      <right style="thin">
        <color indexed="64"/>
      </right>
      <top style="medium">
        <color indexed="64"/>
      </top>
      <bottom/>
      <diagonal/>
    </border>
    <border>
      <left style="thin">
        <color theme="0"/>
      </left>
      <right style="thin">
        <color theme="0"/>
      </right>
      <top style="thin">
        <color indexed="64"/>
      </top>
      <bottom style="thin">
        <color indexed="64"/>
      </bottom>
      <diagonal/>
    </border>
    <border>
      <left style="thin">
        <color theme="0"/>
      </left>
      <right style="thin">
        <color indexed="64"/>
      </right>
      <top style="thin">
        <color indexed="64"/>
      </top>
      <bottom style="thin">
        <color indexed="64"/>
      </bottom>
      <diagonal/>
    </border>
    <border>
      <left style="thin">
        <color theme="0"/>
      </left>
      <right style="thin">
        <color theme="0"/>
      </right>
      <top style="thin">
        <color indexed="64"/>
      </top>
      <bottom style="thin">
        <color theme="0"/>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style="thin">
        <color indexed="64"/>
      </bottom>
      <diagonal/>
    </border>
    <border>
      <left/>
      <right style="thin">
        <color theme="0"/>
      </right>
      <top style="thin">
        <color indexed="64"/>
      </top>
      <bottom style="thin">
        <color indexed="64"/>
      </bottom>
      <diagonal/>
    </border>
    <border>
      <left style="thin">
        <color indexed="64"/>
      </left>
      <right/>
      <top style="thin">
        <color theme="0"/>
      </top>
      <bottom style="thin">
        <color indexed="64"/>
      </bottom>
      <diagonal/>
    </border>
    <border>
      <left/>
      <right style="thin">
        <color theme="0"/>
      </right>
      <top style="thin">
        <color theme="0"/>
      </top>
      <bottom style="thin">
        <color indexed="64"/>
      </bottom>
      <diagonal/>
    </border>
    <border>
      <left style="thin">
        <color indexed="64"/>
      </left>
      <right/>
      <top style="thin">
        <color theme="0"/>
      </top>
      <bottom style="thin">
        <color theme="0"/>
      </bottom>
      <diagonal/>
    </border>
    <border>
      <left/>
      <right style="thin">
        <color theme="0"/>
      </right>
      <top style="thin">
        <color theme="0"/>
      </top>
      <bottom style="thin">
        <color theme="0"/>
      </bottom>
      <diagonal/>
    </border>
    <border>
      <left style="thin">
        <color indexed="64"/>
      </left>
      <right/>
      <top style="thin">
        <color indexed="64"/>
      </top>
      <bottom style="thin">
        <color theme="0"/>
      </bottom>
      <diagonal/>
    </border>
    <border>
      <left/>
      <right style="thin">
        <color theme="0"/>
      </right>
      <top style="thin">
        <color indexed="64"/>
      </top>
      <bottom style="thin">
        <color theme="0"/>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double">
        <color theme="0"/>
      </bottom>
      <diagonal/>
    </border>
    <border>
      <left/>
      <right style="thin">
        <color indexed="64"/>
      </right>
      <top style="thin">
        <color indexed="64"/>
      </top>
      <bottom style="double">
        <color theme="0"/>
      </bottom>
      <diagonal/>
    </border>
    <border>
      <left/>
      <right style="thin">
        <color indexed="64"/>
      </right>
      <top style="medium">
        <color indexed="64"/>
      </top>
      <bottom style="thin">
        <color indexed="64"/>
      </bottom>
      <diagonal/>
    </border>
    <border>
      <left/>
      <right style="thin">
        <color indexed="64"/>
      </right>
      <top style="double">
        <color indexed="64"/>
      </top>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diagonal/>
    </border>
    <border>
      <left style="thin">
        <color indexed="64"/>
      </left>
      <right style="thin">
        <color theme="0"/>
      </right>
      <top style="double">
        <color theme="0"/>
      </top>
      <bottom style="thin">
        <color indexed="64"/>
      </bottom>
      <diagonal/>
    </border>
    <border>
      <left style="thin">
        <color theme="0"/>
      </left>
      <right style="thin">
        <color indexed="64"/>
      </right>
      <top/>
      <bottom style="thin">
        <color indexed="64"/>
      </bottom>
      <diagonal/>
    </border>
    <border>
      <left style="thin">
        <color theme="0"/>
      </left>
      <right style="thin">
        <color theme="0"/>
      </right>
      <top/>
      <bottom/>
      <diagonal/>
    </border>
    <border>
      <left style="thin">
        <color theme="0"/>
      </left>
      <right style="thin">
        <color theme="0"/>
      </right>
      <top style="thin">
        <color indexed="64"/>
      </top>
      <bottom/>
      <diagonal/>
    </border>
    <border>
      <left style="thin">
        <color theme="0"/>
      </left>
      <right style="thin">
        <color theme="0"/>
      </right>
      <top/>
      <bottom style="thin">
        <color indexed="64"/>
      </bottom>
      <diagonal/>
    </border>
    <border>
      <left style="thin">
        <color theme="0"/>
      </left>
      <right style="thin">
        <color theme="0"/>
      </right>
      <top style="thin">
        <color theme="0"/>
      </top>
      <bottom/>
      <diagonal/>
    </border>
    <border>
      <left style="thin">
        <color theme="0"/>
      </left>
      <right style="thin">
        <color indexed="64"/>
      </right>
      <top/>
      <bottom/>
      <diagonal/>
    </border>
    <border>
      <left style="thin">
        <color theme="0"/>
      </left>
      <right style="thin">
        <color indexed="64"/>
      </right>
      <top style="thin">
        <color indexed="64"/>
      </top>
      <bottom/>
      <diagonal/>
    </border>
    <border>
      <left style="thin">
        <color theme="0"/>
      </left>
      <right style="thin">
        <color indexed="64"/>
      </right>
      <top/>
      <bottom style="thin">
        <color theme="0"/>
      </bottom>
      <diagonal/>
    </border>
    <border>
      <left style="thin">
        <color theme="0"/>
      </left>
      <right style="thin">
        <color theme="0"/>
      </right>
      <top style="double">
        <color theme="0"/>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theme="0"/>
      </left>
      <right/>
      <top/>
      <bottom/>
      <diagonal/>
    </border>
    <border>
      <left style="thin">
        <color theme="0"/>
      </left>
      <right/>
      <top style="double">
        <color theme="0"/>
      </top>
      <bottom style="thin">
        <color indexed="64"/>
      </bottom>
      <diagonal/>
    </border>
    <border>
      <left style="thin">
        <color theme="0"/>
      </left>
      <right/>
      <top/>
      <bottom style="thin">
        <color indexed="64"/>
      </bottom>
      <diagonal/>
    </border>
    <border>
      <left style="thin">
        <color indexed="64"/>
      </left>
      <right style="thin">
        <color theme="0"/>
      </right>
      <top style="thin">
        <color indexed="64"/>
      </top>
      <bottom/>
      <diagonal/>
    </border>
    <border>
      <left style="thin">
        <color indexed="64"/>
      </left>
      <right style="thin">
        <color theme="0"/>
      </right>
      <top/>
      <bottom/>
      <diagonal/>
    </border>
    <border>
      <left style="thin">
        <color indexed="64"/>
      </left>
      <right style="thin">
        <color theme="0"/>
      </right>
      <top/>
      <bottom style="thin">
        <color theme="0"/>
      </bottom>
      <diagonal/>
    </border>
    <border>
      <left style="thin">
        <color theme="0"/>
      </left>
      <right/>
      <top style="thin">
        <color indexed="64"/>
      </top>
      <bottom style="thin">
        <color theme="0"/>
      </bottom>
      <diagonal/>
    </border>
    <border>
      <left/>
      <right/>
      <top style="thin">
        <color indexed="64"/>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style="thin">
        <color theme="0"/>
      </left>
      <right/>
      <top style="thin">
        <color indexed="64"/>
      </top>
      <bottom style="thin">
        <color indexed="64"/>
      </bottom>
      <diagonal/>
    </border>
    <border>
      <left style="thin">
        <color theme="0"/>
      </left>
      <right/>
      <top/>
      <bottom style="thin">
        <color theme="0"/>
      </bottom>
      <diagonal/>
    </border>
    <border>
      <left/>
      <right style="thin">
        <color theme="0"/>
      </right>
      <top/>
      <bottom style="thin">
        <color theme="0"/>
      </bottom>
      <diagonal/>
    </border>
    <border>
      <left/>
      <right style="thin">
        <color theme="0"/>
      </right>
      <top/>
      <bottom/>
      <diagonal/>
    </border>
    <border>
      <left style="thin">
        <color theme="0"/>
      </left>
      <right/>
      <top style="thin">
        <color indexed="64"/>
      </top>
      <bottom/>
      <diagonal/>
    </border>
    <border>
      <left/>
      <right style="thin">
        <color theme="0"/>
      </right>
      <top style="thin">
        <color indexed="64"/>
      </top>
      <bottom/>
      <diagonal/>
    </border>
    <border>
      <left/>
      <right/>
      <top/>
      <bottom style="medium">
        <color indexed="64"/>
      </bottom>
      <diagonal/>
    </border>
    <border>
      <left/>
      <right/>
      <top style="medium">
        <color indexed="64"/>
      </top>
      <bottom/>
      <diagonal/>
    </border>
    <border>
      <left/>
      <right/>
      <top style="medium">
        <color indexed="64"/>
      </top>
      <bottom style="medium">
        <color indexed="64"/>
      </bottom>
      <diagonal/>
    </border>
  </borders>
  <cellStyleXfs count="11">
    <xf numFmtId="0" fontId="0" fillId="0" borderId="0"/>
    <xf numFmtId="0" fontId="2" fillId="0" borderId="0"/>
    <xf numFmtId="0" fontId="9" fillId="0" borderId="0"/>
    <xf numFmtId="0" fontId="10" fillId="0" borderId="0"/>
    <xf numFmtId="0" fontId="2" fillId="0" borderId="0"/>
    <xf numFmtId="0" fontId="9" fillId="0" borderId="0"/>
    <xf numFmtId="0" fontId="2" fillId="0" borderId="0"/>
    <xf numFmtId="0" fontId="9" fillId="0" borderId="0"/>
    <xf numFmtId="0" fontId="2" fillId="0" borderId="0"/>
    <xf numFmtId="0" fontId="52" fillId="0" borderId="0" applyNumberFormat="0" applyFill="0" applyBorder="0" applyAlignment="0" applyProtection="0"/>
    <xf numFmtId="0" fontId="75" fillId="0" borderId="0" applyNumberFormat="0" applyFill="0" applyBorder="0" applyAlignment="0" applyProtection="0"/>
  </cellStyleXfs>
  <cellXfs count="988">
    <xf numFmtId="0" fontId="0" fillId="0" borderId="0" xfId="0"/>
    <xf numFmtId="0" fontId="2" fillId="0" borderId="4" xfId="0" applyFont="1" applyBorder="1"/>
    <xf numFmtId="0" fontId="2" fillId="0" borderId="0" xfId="0" applyFont="1"/>
    <xf numFmtId="165" fontId="2" fillId="0" borderId="4" xfId="0" applyNumberFormat="1" applyFont="1" applyBorder="1"/>
    <xf numFmtId="0" fontId="5" fillId="0" borderId="0" xfId="0" applyFont="1"/>
    <xf numFmtId="0" fontId="2" fillId="0" borderId="0" xfId="3" applyFont="1"/>
    <xf numFmtId="0" fontId="3" fillId="0" borderId="0" xfId="3" applyFont="1" applyAlignment="1">
      <alignment horizontal="left"/>
    </xf>
    <xf numFmtId="0" fontId="2" fillId="0" borderId="17" xfId="3" applyFont="1" applyBorder="1" applyAlignment="1">
      <alignment horizontal="centerContinuous"/>
    </xf>
    <xf numFmtId="0" fontId="2" fillId="0" borderId="6" xfId="3" applyFont="1" applyBorder="1" applyAlignment="1">
      <alignment horizontal="centerContinuous"/>
    </xf>
    <xf numFmtId="0" fontId="2" fillId="0" borderId="8" xfId="3" applyFont="1" applyBorder="1" applyAlignment="1">
      <alignment horizontal="center"/>
    </xf>
    <xf numFmtId="0" fontId="2" fillId="0" borderId="15" xfId="3" applyFont="1" applyBorder="1" applyAlignment="1">
      <alignment horizontal="center"/>
    </xf>
    <xf numFmtId="0" fontId="2" fillId="0" borderId="15" xfId="3" applyFont="1" applyBorder="1" applyAlignment="1">
      <alignment horizontal="centerContinuous"/>
    </xf>
    <xf numFmtId="0" fontId="2" fillId="0" borderId="9" xfId="3" applyFont="1" applyBorder="1" applyAlignment="1">
      <alignment horizontal="centerContinuous"/>
    </xf>
    <xf numFmtId="0" fontId="2" fillId="0" borderId="8" xfId="3" applyFont="1" applyBorder="1" applyAlignment="1">
      <alignment horizontal="centerContinuous"/>
    </xf>
    <xf numFmtId="0" fontId="2" fillId="0" borderId="5" xfId="3" applyFont="1" applyBorder="1" applyAlignment="1">
      <alignment horizontal="center"/>
    </xf>
    <xf numFmtId="0" fontId="2" fillId="0" borderId="2" xfId="3" applyFont="1" applyBorder="1" applyAlignment="1">
      <alignment horizontal="center"/>
    </xf>
    <xf numFmtId="0" fontId="2" fillId="0" borderId="4" xfId="3" applyFont="1" applyBorder="1"/>
    <xf numFmtId="3" fontId="2" fillId="0" borderId="4" xfId="3" applyNumberFormat="1" applyFont="1" applyBorder="1"/>
    <xf numFmtId="3" fontId="2" fillId="0" borderId="1" xfId="3" applyNumberFormat="1" applyFont="1" applyBorder="1"/>
    <xf numFmtId="3" fontId="2" fillId="0" borderId="12" xfId="3" applyNumberFormat="1" applyFont="1" applyBorder="1"/>
    <xf numFmtId="0" fontId="2" fillId="0" borderId="14" xfId="3" applyFont="1" applyBorder="1"/>
    <xf numFmtId="0" fontId="2" fillId="0" borderId="11" xfId="3" applyFont="1" applyBorder="1"/>
    <xf numFmtId="0" fontId="2" fillId="0" borderId="1" xfId="3" applyFont="1" applyBorder="1"/>
    <xf numFmtId="0" fontId="2" fillId="0" borderId="2" xfId="3" applyFont="1" applyBorder="1"/>
    <xf numFmtId="0" fontId="2" fillId="0" borderId="10" xfId="3" applyFont="1" applyBorder="1"/>
    <xf numFmtId="3" fontId="2" fillId="0" borderId="2" xfId="3" applyNumberFormat="1" applyFont="1" applyBorder="1"/>
    <xf numFmtId="3" fontId="2" fillId="0" borderId="10" xfId="3" applyNumberFormat="1" applyFont="1" applyBorder="1"/>
    <xf numFmtId="3" fontId="2" fillId="0" borderId="13" xfId="3" applyNumberFormat="1" applyFont="1" applyBorder="1"/>
    <xf numFmtId="0" fontId="2" fillId="0" borderId="16" xfId="3" applyFont="1" applyBorder="1"/>
    <xf numFmtId="0" fontId="2" fillId="0" borderId="13" xfId="3" applyFont="1" applyBorder="1"/>
    <xf numFmtId="3" fontId="8" fillId="0" borderId="5" xfId="3" applyNumberFormat="1" applyFont="1" applyBorder="1"/>
    <xf numFmtId="0" fontId="2" fillId="5" borderId="6" xfId="3" applyFont="1" applyFill="1" applyBorder="1" applyAlignment="1">
      <alignment horizontal="center"/>
    </xf>
    <xf numFmtId="0" fontId="2" fillId="5" borderId="4" xfId="3" applyFont="1" applyFill="1" applyBorder="1" applyAlignment="1">
      <alignment horizontal="center"/>
    </xf>
    <xf numFmtId="3" fontId="6" fillId="0" borderId="2" xfId="3" applyNumberFormat="1" applyFont="1" applyBorder="1"/>
    <xf numFmtId="3" fontId="6" fillId="0" borderId="0" xfId="3" applyNumberFormat="1" applyFont="1"/>
    <xf numFmtId="0" fontId="6" fillId="0" borderId="2" xfId="3" applyFont="1" applyBorder="1"/>
    <xf numFmtId="0" fontId="6" fillId="0" borderId="11" xfId="3" applyFont="1" applyBorder="1"/>
    <xf numFmtId="0" fontId="2" fillId="2" borderId="5" xfId="3" applyFont="1" applyFill="1" applyBorder="1"/>
    <xf numFmtId="0" fontId="2" fillId="2" borderId="4" xfId="3" applyFont="1" applyFill="1" applyBorder="1"/>
    <xf numFmtId="3" fontId="2" fillId="2" borderId="4" xfId="3" applyNumberFormat="1" applyFont="1" applyFill="1" applyBorder="1"/>
    <xf numFmtId="3" fontId="2" fillId="2" borderId="0" xfId="4" applyNumberFormat="1" applyFill="1"/>
    <xf numFmtId="3" fontId="2" fillId="0" borderId="0" xfId="4" applyNumberFormat="1"/>
    <xf numFmtId="0" fontId="5" fillId="0" borderId="1" xfId="0" applyFont="1" applyBorder="1" applyAlignment="1">
      <alignment horizontal="center"/>
    </xf>
    <xf numFmtId="0" fontId="5" fillId="0" borderId="2" xfId="0" applyFont="1" applyBorder="1" applyAlignment="1">
      <alignment horizontal="center"/>
    </xf>
    <xf numFmtId="0" fontId="2" fillId="0" borderId="5" xfId="0" applyFont="1" applyBorder="1"/>
    <xf numFmtId="0" fontId="2" fillId="0" borderId="1" xfId="0" applyFont="1" applyBorder="1"/>
    <xf numFmtId="0" fontId="2" fillId="0" borderId="0" xfId="0" applyFont="1" applyAlignment="1">
      <alignment horizontal="right"/>
    </xf>
    <xf numFmtId="0" fontId="4" fillId="0" borderId="0" xfId="0" applyFont="1" applyAlignment="1">
      <alignment horizontal="centerContinuous"/>
    </xf>
    <xf numFmtId="0" fontId="5" fillId="0" borderId="0" xfId="0" applyFont="1" applyAlignment="1">
      <alignment horizontal="centerContinuous"/>
    </xf>
    <xf numFmtId="49" fontId="2" fillId="0" borderId="4" xfId="0" applyNumberFormat="1" applyFont="1" applyBorder="1"/>
    <xf numFmtId="0" fontId="6" fillId="0" borderId="4" xfId="0" applyFont="1" applyBorder="1"/>
    <xf numFmtId="0" fontId="5" fillId="0" borderId="4" xfId="0" applyFont="1" applyBorder="1"/>
    <xf numFmtId="165" fontId="5" fillId="0" borderId="4" xfId="0" applyNumberFormat="1" applyFont="1" applyBorder="1"/>
    <xf numFmtId="165" fontId="2" fillId="0" borderId="1" xfId="0" applyNumberFormat="1" applyFont="1" applyBorder="1"/>
    <xf numFmtId="165" fontId="2" fillId="0" borderId="5" xfId="0" applyNumberFormat="1" applyFont="1" applyBorder="1"/>
    <xf numFmtId="0" fontId="5" fillId="0" borderId="19" xfId="0" applyFont="1" applyBorder="1"/>
    <xf numFmtId="0" fontId="2" fillId="0" borderId="4" xfId="3" applyFont="1" applyBorder="1" applyAlignment="1">
      <alignment horizontal="center"/>
    </xf>
    <xf numFmtId="0" fontId="2" fillId="0" borderId="20" xfId="0" applyFont="1" applyBorder="1"/>
    <xf numFmtId="0" fontId="7" fillId="0" borderId="0" xfId="3" applyFont="1"/>
    <xf numFmtId="0" fontId="2" fillId="0" borderId="0" xfId="0" applyFont="1" applyAlignment="1">
      <alignment horizontal="center"/>
    </xf>
    <xf numFmtId="0" fontId="4" fillId="0" borderId="0" xfId="0" applyFont="1"/>
    <xf numFmtId="0" fontId="2" fillId="0" borderId="4" xfId="3" quotePrefix="1" applyFont="1" applyBorder="1"/>
    <xf numFmtId="0" fontId="2" fillId="0" borderId="16" xfId="3" quotePrefix="1" applyFont="1" applyBorder="1"/>
    <xf numFmtId="0" fontId="2" fillId="0" borderId="17" xfId="3" quotePrefix="1" applyFont="1" applyBorder="1" applyAlignment="1">
      <alignment horizontal="centerContinuous"/>
    </xf>
    <xf numFmtId="3" fontId="2" fillId="0" borderId="4" xfId="3" quotePrefix="1" applyNumberFormat="1" applyFont="1" applyBorder="1"/>
    <xf numFmtId="3" fontId="2" fillId="0" borderId="16" xfId="3" quotePrefix="1" applyNumberFormat="1" applyFont="1" applyBorder="1"/>
    <xf numFmtId="3" fontId="2" fillId="0" borderId="1" xfId="3" quotePrefix="1" applyNumberFormat="1" applyFont="1" applyBorder="1"/>
    <xf numFmtId="3" fontId="2" fillId="0" borderId="5" xfId="3" quotePrefix="1" applyNumberFormat="1" applyFont="1" applyBorder="1"/>
    <xf numFmtId="3" fontId="2" fillId="0" borderId="2" xfId="3" quotePrefix="1" applyNumberFormat="1" applyFont="1" applyBorder="1"/>
    <xf numFmtId="3" fontId="2" fillId="0" borderId="15" xfId="3" quotePrefix="1" applyNumberFormat="1" applyFont="1" applyBorder="1"/>
    <xf numFmtId="3" fontId="2" fillId="0" borderId="11" xfId="3" quotePrefix="1" applyNumberFormat="1" applyFont="1" applyBorder="1"/>
    <xf numFmtId="3" fontId="2" fillId="0" borderId="14" xfId="3" quotePrefix="1" applyNumberFormat="1" applyFont="1" applyBorder="1"/>
    <xf numFmtId="3" fontId="2" fillId="0" borderId="6" xfId="3" quotePrefix="1" applyNumberFormat="1" applyFont="1" applyBorder="1"/>
    <xf numFmtId="3" fontId="2" fillId="0" borderId="9" xfId="3" quotePrefix="1" applyNumberFormat="1" applyFont="1" applyBorder="1"/>
    <xf numFmtId="3" fontId="2" fillId="0" borderId="10" xfId="3" quotePrefix="1" applyNumberFormat="1" applyFont="1" applyBorder="1"/>
    <xf numFmtId="3" fontId="2" fillId="0" borderId="8" xfId="3" quotePrefix="1" applyNumberFormat="1" applyFont="1" applyBorder="1"/>
    <xf numFmtId="3" fontId="2" fillId="0" borderId="12" xfId="3" quotePrefix="1" applyNumberFormat="1" applyFont="1" applyBorder="1"/>
    <xf numFmtId="3" fontId="2" fillId="0" borderId="5" xfId="3" applyNumberFormat="1" applyFont="1" applyBorder="1"/>
    <xf numFmtId="3" fontId="2" fillId="0" borderId="8" xfId="3" applyNumberFormat="1" applyFont="1" applyBorder="1"/>
    <xf numFmtId="0" fontId="2" fillId="0" borderId="0" xfId="0" quotePrefix="1" applyFont="1" applyAlignment="1">
      <alignment horizontal="left" vertical="top"/>
    </xf>
    <xf numFmtId="0" fontId="14" fillId="0" borderId="0" xfId="0" applyFont="1"/>
    <xf numFmtId="0" fontId="15" fillId="0" borderId="0" xfId="0" quotePrefix="1" applyFont="1" applyAlignment="1">
      <alignment horizontal="right"/>
    </xf>
    <xf numFmtId="0" fontId="2" fillId="0" borderId="0" xfId="0" quotePrefix="1" applyFont="1" applyAlignment="1">
      <alignment horizontal="right"/>
    </xf>
    <xf numFmtId="0" fontId="16" fillId="0" borderId="0" xfId="0" quotePrefix="1" applyFont="1" applyAlignment="1">
      <alignment horizontal="centerContinuous"/>
    </xf>
    <xf numFmtId="0" fontId="16" fillId="0" borderId="0" xfId="0" applyFont="1" applyAlignment="1">
      <alignment horizontal="centerContinuous"/>
    </xf>
    <xf numFmtId="0" fontId="15" fillId="8" borderId="70" xfId="3" quotePrefix="1" applyFont="1" applyFill="1" applyBorder="1" applyAlignment="1">
      <alignment horizontal="center"/>
    </xf>
    <xf numFmtId="0" fontId="15" fillId="8" borderId="70" xfId="3" applyFont="1" applyFill="1" applyBorder="1" applyAlignment="1">
      <alignment horizontal="center"/>
    </xf>
    <xf numFmtId="0" fontId="15" fillId="8" borderId="74" xfId="3" applyFont="1" applyFill="1" applyBorder="1" applyAlignment="1">
      <alignment horizontal="center"/>
    </xf>
    <xf numFmtId="0" fontId="14" fillId="0" borderId="0" xfId="0" quotePrefix="1" applyFont="1"/>
    <xf numFmtId="0" fontId="17" fillId="0" borderId="0" xfId="0" applyFont="1"/>
    <xf numFmtId="0" fontId="14" fillId="0" borderId="10" xfId="0" applyFont="1" applyBorder="1"/>
    <xf numFmtId="0" fontId="15" fillId="8" borderId="69" xfId="3" applyFont="1" applyFill="1" applyBorder="1" applyAlignment="1">
      <alignment horizontal="center"/>
    </xf>
    <xf numFmtId="167" fontId="15" fillId="8" borderId="69" xfId="3" quotePrefix="1" applyNumberFormat="1" applyFont="1" applyFill="1" applyBorder="1" applyAlignment="1">
      <alignment horizontal="center"/>
    </xf>
    <xf numFmtId="15" fontId="15" fillId="8" borderId="73" xfId="3" quotePrefix="1" applyNumberFormat="1" applyFont="1" applyFill="1" applyBorder="1" applyAlignment="1">
      <alignment horizontal="center"/>
    </xf>
    <xf numFmtId="0" fontId="14" fillId="0" borderId="8" xfId="0" applyFont="1" applyBorder="1"/>
    <xf numFmtId="0" fontId="15" fillId="8" borderId="49" xfId="3" applyFont="1" applyFill="1" applyBorder="1" applyAlignment="1">
      <alignment horizontal="center"/>
    </xf>
    <xf numFmtId="0" fontId="15" fillId="8" borderId="75" xfId="3" applyFont="1" applyFill="1" applyBorder="1" applyAlignment="1">
      <alignment horizontal="center"/>
    </xf>
    <xf numFmtId="0" fontId="2" fillId="16" borderId="5" xfId="3" applyFont="1" applyFill="1" applyBorder="1"/>
    <xf numFmtId="164" fontId="2" fillId="16" borderId="4" xfId="3" quotePrefix="1" applyNumberFormat="1" applyFont="1" applyFill="1" applyBorder="1"/>
    <xf numFmtId="164" fontId="2" fillId="16" borderId="4" xfId="3" quotePrefix="1" applyNumberFormat="1" applyFont="1" applyFill="1" applyBorder="1" applyAlignment="1">
      <alignment horizontal="right"/>
    </xf>
    <xf numFmtId="164" fontId="2" fillId="16" borderId="5" xfId="3" quotePrefix="1" applyNumberFormat="1" applyFont="1" applyFill="1" applyBorder="1"/>
    <xf numFmtId="164" fontId="2" fillId="0" borderId="4" xfId="3" quotePrefix="1" applyNumberFormat="1" applyFont="1" applyBorder="1"/>
    <xf numFmtId="164" fontId="2" fillId="0" borderId="4" xfId="3" applyNumberFormat="1" applyFont="1" applyBorder="1"/>
    <xf numFmtId="164" fontId="2" fillId="0" borderId="6" xfId="3" quotePrefix="1" applyNumberFormat="1" applyFont="1" applyBorder="1"/>
    <xf numFmtId="0" fontId="18" fillId="0" borderId="0" xfId="0" applyFont="1"/>
    <xf numFmtId="0" fontId="2" fillId="16" borderId="4" xfId="3" applyFont="1" applyFill="1" applyBorder="1"/>
    <xf numFmtId="164" fontId="2" fillId="16" borderId="6" xfId="3" quotePrefix="1" applyNumberFormat="1" applyFont="1" applyFill="1" applyBorder="1"/>
    <xf numFmtId="164" fontId="2" fillId="0" borderId="4" xfId="3" quotePrefix="1" applyNumberFormat="1" applyFont="1" applyBorder="1" applyAlignment="1">
      <alignment horizontal="right"/>
    </xf>
    <xf numFmtId="164" fontId="2" fillId="16" borderId="4" xfId="4" quotePrefix="1" applyNumberFormat="1" applyFill="1" applyBorder="1"/>
    <xf numFmtId="164" fontId="6" fillId="0" borderId="4" xfId="3" applyNumberFormat="1" applyFont="1" applyBorder="1"/>
    <xf numFmtId="0" fontId="2" fillId="16" borderId="16" xfId="3" applyFont="1" applyFill="1" applyBorder="1"/>
    <xf numFmtId="164" fontId="2" fillId="0" borderId="4" xfId="4" quotePrefix="1" applyNumberFormat="1" applyBorder="1"/>
    <xf numFmtId="164" fontId="2" fillId="16" borderId="4" xfId="3" applyNumberFormat="1" applyFont="1" applyFill="1" applyBorder="1"/>
    <xf numFmtId="164" fontId="2" fillId="0" borderId="4" xfId="4" applyNumberFormat="1" applyBorder="1"/>
    <xf numFmtId="0" fontId="2" fillId="16" borderId="4" xfId="3" quotePrefix="1" applyFont="1" applyFill="1" applyBorder="1"/>
    <xf numFmtId="3" fontId="2" fillId="0" borderId="0" xfId="4" quotePrefix="1" applyNumberFormat="1"/>
    <xf numFmtId="164" fontId="8" fillId="16" borderId="4" xfId="3" applyNumberFormat="1" applyFont="1" applyFill="1" applyBorder="1"/>
    <xf numFmtId="3" fontId="2" fillId="0" borderId="4" xfId="4" quotePrefix="1" applyNumberFormat="1" applyBorder="1"/>
    <xf numFmtId="0" fontId="2" fillId="2" borderId="4" xfId="4" applyFill="1" applyBorder="1"/>
    <xf numFmtId="164" fontId="2" fillId="16" borderId="15" xfId="3" quotePrefix="1" applyNumberFormat="1" applyFont="1" applyFill="1" applyBorder="1"/>
    <xf numFmtId="164" fontId="2" fillId="16" borderId="0" xfId="4" quotePrefix="1" applyNumberFormat="1" applyFill="1"/>
    <xf numFmtId="0" fontId="15" fillId="8" borderId="16" xfId="4" applyFont="1" applyFill="1" applyBorder="1"/>
    <xf numFmtId="164" fontId="15" fillId="8" borderId="46" xfId="3" quotePrefix="1" applyNumberFormat="1" applyFont="1" applyFill="1" applyBorder="1"/>
    <xf numFmtId="164" fontId="15" fillId="8" borderId="71" xfId="3" quotePrefix="1" applyNumberFormat="1" applyFont="1" applyFill="1" applyBorder="1"/>
    <xf numFmtId="164" fontId="15" fillId="8" borderId="8" xfId="3" quotePrefix="1" applyNumberFormat="1" applyFont="1" applyFill="1" applyBorder="1" applyAlignment="1">
      <alignment horizontal="right"/>
    </xf>
    <xf numFmtId="0" fontId="2" fillId="0" borderId="4" xfId="4" applyBorder="1"/>
    <xf numFmtId="0" fontId="2" fillId="0" borderId="44" xfId="4" applyBorder="1"/>
    <xf numFmtId="164" fontId="2" fillId="0" borderId="61" xfId="4" quotePrefix="1" applyNumberFormat="1" applyBorder="1"/>
    <xf numFmtId="0" fontId="15" fillId="8" borderId="15" xfId="4" applyFont="1" applyFill="1" applyBorder="1"/>
    <xf numFmtId="164" fontId="15" fillId="8" borderId="68" xfId="4" quotePrefix="1" applyNumberFormat="1" applyFont="1" applyFill="1" applyBorder="1"/>
    <xf numFmtId="0" fontId="2" fillId="0" borderId="0" xfId="3" applyFont="1" applyAlignment="1">
      <alignment horizontal="right"/>
    </xf>
    <xf numFmtId="0" fontId="19" fillId="0" borderId="0" xfId="0" applyFont="1" applyAlignment="1">
      <alignment horizontal="centerContinuous" vertical="center"/>
    </xf>
    <xf numFmtId="0" fontId="15" fillId="8" borderId="17" xfId="3" quotePrefix="1" applyFont="1" applyFill="1" applyBorder="1" applyAlignment="1">
      <alignment horizontal="center"/>
    </xf>
    <xf numFmtId="0" fontId="15" fillId="8" borderId="46" xfId="3" quotePrefix="1" applyFont="1" applyFill="1" applyBorder="1" applyAlignment="1">
      <alignment horizontal="center"/>
    </xf>
    <xf numFmtId="3" fontId="2" fillId="16" borderId="4" xfId="3" quotePrefix="1" applyNumberFormat="1" applyFont="1" applyFill="1" applyBorder="1"/>
    <xf numFmtId="3" fontId="2" fillId="16" borderId="4" xfId="4" quotePrefix="1" applyNumberFormat="1" applyFill="1" applyBorder="1"/>
    <xf numFmtId="0" fontId="2" fillId="0" borderId="0" xfId="4"/>
    <xf numFmtId="3" fontId="2" fillId="16" borderId="7" xfId="3" quotePrefix="1" applyNumberFormat="1" applyFont="1" applyFill="1" applyBorder="1"/>
    <xf numFmtId="3" fontId="15" fillId="8" borderId="5" xfId="3" quotePrefix="1" applyNumberFormat="1" applyFont="1" applyFill="1" applyBorder="1"/>
    <xf numFmtId="0" fontId="20" fillId="0" borderId="0" xfId="0" applyFont="1"/>
    <xf numFmtId="0" fontId="2" fillId="0" borderId="0" xfId="0" quotePrefix="1" applyFont="1"/>
    <xf numFmtId="0" fontId="23" fillId="0" borderId="0" xfId="0" applyFont="1" applyAlignment="1">
      <alignment horizontal="centerContinuous"/>
    </xf>
    <xf numFmtId="0" fontId="14" fillId="0" borderId="0" xfId="0" applyFont="1" applyAlignment="1">
      <alignment horizontal="centerContinuous"/>
    </xf>
    <xf numFmtId="0" fontId="2" fillId="0" borderId="0" xfId="0" applyFont="1" applyAlignment="1">
      <alignment horizontal="centerContinuous"/>
    </xf>
    <xf numFmtId="0" fontId="19" fillId="0" borderId="0" xfId="0" applyFont="1" applyAlignment="1">
      <alignment horizontal="centerContinuous"/>
    </xf>
    <xf numFmtId="0" fontId="5" fillId="0" borderId="2" xfId="0" applyFont="1" applyBorder="1" applyAlignment="1">
      <alignment horizontal="centerContinuous"/>
    </xf>
    <xf numFmtId="0" fontId="15" fillId="9" borderId="1" xfId="0" quotePrefix="1" applyFont="1" applyFill="1" applyBorder="1" applyAlignment="1">
      <alignment horizontal="centerContinuous"/>
    </xf>
    <xf numFmtId="0" fontId="15" fillId="9" borderId="1" xfId="0" applyFont="1" applyFill="1" applyBorder="1" applyAlignment="1">
      <alignment horizontal="center" vertical="center"/>
    </xf>
    <xf numFmtId="0" fontId="15" fillId="9" borderId="1" xfId="0" applyFont="1" applyFill="1" applyBorder="1" applyAlignment="1">
      <alignment horizontal="center"/>
    </xf>
    <xf numFmtId="0" fontId="24" fillId="0" borderId="0" xfId="0" applyFont="1" applyAlignment="1">
      <alignment horizontal="centerContinuous"/>
    </xf>
    <xf numFmtId="0" fontId="15" fillId="9" borderId="3" xfId="0" applyFont="1" applyFill="1" applyBorder="1" applyAlignment="1">
      <alignment horizontal="center" vertical="center"/>
    </xf>
    <xf numFmtId="0" fontId="24" fillId="0" borderId="0" xfId="0" applyFont="1" applyAlignment="1">
      <alignment horizontal="center" vertical="center"/>
    </xf>
    <xf numFmtId="0" fontId="2" fillId="11" borderId="4" xfId="0" applyFont="1" applyFill="1" applyBorder="1" applyAlignment="1">
      <alignment vertical="center"/>
    </xf>
    <xf numFmtId="0" fontId="2" fillId="11" borderId="4" xfId="0" applyFont="1" applyFill="1" applyBorder="1" applyAlignment="1">
      <alignment horizontal="center" vertical="center"/>
    </xf>
    <xf numFmtId="164" fontId="2" fillId="11" borderId="5" xfId="0" quotePrefix="1" applyNumberFormat="1" applyFont="1" applyFill="1" applyBorder="1" applyAlignment="1">
      <alignment horizontal="right" vertical="center"/>
    </xf>
    <xf numFmtId="9" fontId="2" fillId="11" borderId="4" xfId="0" quotePrefix="1" applyNumberFormat="1" applyFont="1" applyFill="1" applyBorder="1" applyAlignment="1">
      <alignment horizontal="right" vertical="center"/>
    </xf>
    <xf numFmtId="9" fontId="2" fillId="11" borderId="5" xfId="0" quotePrefix="1" applyNumberFormat="1" applyFont="1" applyFill="1" applyBorder="1" applyAlignment="1">
      <alignment horizontal="right" vertical="center"/>
    </xf>
    <xf numFmtId="0" fontId="2" fillId="0" borderId="0" xfId="0" applyFont="1" applyAlignment="1">
      <alignment vertical="center"/>
    </xf>
    <xf numFmtId="164" fontId="2" fillId="0" borderId="0" xfId="0" applyNumberFormat="1" applyFont="1" applyAlignment="1">
      <alignment vertical="center"/>
    </xf>
    <xf numFmtId="164" fontId="2" fillId="0" borderId="0" xfId="0" applyNumberFormat="1" applyFont="1"/>
    <xf numFmtId="0" fontId="2" fillId="0" borderId="4" xfId="0" applyFont="1" applyBorder="1" applyAlignment="1">
      <alignment vertical="center"/>
    </xf>
    <xf numFmtId="0" fontId="2" fillId="0" borderId="4" xfId="0" applyFont="1" applyBorder="1" applyAlignment="1">
      <alignment horizontal="center" vertical="center"/>
    </xf>
    <xf numFmtId="164" fontId="2" fillId="0" borderId="4" xfId="0" quotePrefix="1" applyNumberFormat="1" applyFont="1" applyBorder="1" applyAlignment="1">
      <alignment horizontal="right" vertical="center"/>
    </xf>
    <xf numFmtId="9" fontId="2" fillId="0" borderId="4" xfId="0" quotePrefix="1" applyNumberFormat="1" applyFont="1" applyBorder="1" applyAlignment="1">
      <alignment horizontal="right" vertical="center"/>
    </xf>
    <xf numFmtId="9" fontId="2" fillId="0" borderId="5" xfId="0" quotePrefix="1" applyNumberFormat="1" applyFont="1" applyBorder="1" applyAlignment="1">
      <alignment horizontal="right" vertical="center"/>
    </xf>
    <xf numFmtId="3" fontId="2" fillId="0" borderId="0" xfId="0" applyNumberFormat="1" applyFont="1"/>
    <xf numFmtId="164" fontId="2" fillId="11" borderId="4" xfId="0" quotePrefix="1" applyNumberFormat="1" applyFont="1" applyFill="1" applyBorder="1" applyAlignment="1">
      <alignment horizontal="right" vertical="center"/>
    </xf>
    <xf numFmtId="0" fontId="7" fillId="0" borderId="0" xfId="0" applyFont="1"/>
    <xf numFmtId="3" fontId="7" fillId="0" borderId="0" xfId="0" applyNumberFormat="1" applyFont="1"/>
    <xf numFmtId="0" fontId="2" fillId="0" borderId="7" xfId="0" applyFont="1" applyBorder="1" applyAlignment="1">
      <alignment vertical="center"/>
    </xf>
    <xf numFmtId="0" fontId="2" fillId="0" borderId="6" xfId="0" applyFont="1" applyBorder="1" applyAlignment="1">
      <alignment horizontal="center" vertical="center"/>
    </xf>
    <xf numFmtId="164" fontId="2" fillId="0" borderId="7" xfId="0" quotePrefix="1" applyNumberFormat="1" applyFont="1" applyBorder="1" applyAlignment="1">
      <alignment horizontal="right" vertical="center"/>
    </xf>
    <xf numFmtId="9" fontId="2" fillId="0" borderId="22" xfId="0" quotePrefix="1" applyNumberFormat="1" applyFont="1" applyBorder="1" applyAlignment="1">
      <alignment horizontal="right"/>
    </xf>
    <xf numFmtId="9" fontId="2" fillId="0" borderId="7" xfId="0" quotePrefix="1" applyNumberFormat="1" applyFont="1" applyBorder="1" applyAlignment="1">
      <alignment horizontal="right" vertical="center"/>
    </xf>
    <xf numFmtId="0" fontId="15" fillId="9" borderId="5" xfId="0" applyFont="1" applyFill="1" applyBorder="1" applyAlignment="1">
      <alignment vertical="top"/>
    </xf>
    <xf numFmtId="0" fontId="15" fillId="9" borderId="8" xfId="0" applyFont="1" applyFill="1" applyBorder="1" applyAlignment="1">
      <alignment horizontal="center" vertical="top"/>
    </xf>
    <xf numFmtId="3" fontId="15" fillId="9" borderId="5" xfId="0" quotePrefix="1" applyNumberFormat="1" applyFont="1" applyFill="1" applyBorder="1" applyAlignment="1">
      <alignment vertical="top"/>
    </xf>
    <xf numFmtId="9" fontId="15" fillId="9" borderId="5" xfId="0" quotePrefix="1" applyNumberFormat="1" applyFont="1" applyFill="1" applyBorder="1" applyAlignment="1">
      <alignment vertical="top"/>
    </xf>
    <xf numFmtId="164" fontId="15" fillId="9" borderId="5" xfId="0" quotePrefix="1" applyNumberFormat="1" applyFont="1" applyFill="1" applyBorder="1" applyAlignment="1">
      <alignment vertical="top"/>
    </xf>
    <xf numFmtId="0" fontId="24" fillId="0" borderId="0" xfId="0" applyFont="1" applyAlignment="1">
      <alignment vertical="top"/>
    </xf>
    <xf numFmtId="3" fontId="24" fillId="0" borderId="0" xfId="0" applyNumberFormat="1" applyFont="1" applyAlignment="1">
      <alignment vertical="top"/>
    </xf>
    <xf numFmtId="164" fontId="24" fillId="0" borderId="0" xfId="0" applyNumberFormat="1" applyFont="1" applyAlignment="1">
      <alignment vertical="top"/>
    </xf>
    <xf numFmtId="0" fontId="2" fillId="0" borderId="3" xfId="0" applyFont="1" applyBorder="1" applyAlignment="1">
      <alignment vertical="top"/>
    </xf>
    <xf numFmtId="164" fontId="2" fillId="0" borderId="3" xfId="0" quotePrefix="1" applyNumberFormat="1" applyFont="1" applyBorder="1" applyAlignment="1">
      <alignment vertical="top"/>
    </xf>
    <xf numFmtId="9" fontId="2" fillId="10" borderId="3" xfId="0" applyNumberFormat="1" applyFont="1" applyFill="1" applyBorder="1" applyAlignment="1">
      <alignment vertical="top"/>
    </xf>
    <xf numFmtId="9" fontId="2" fillId="0" borderId="3" xfId="0" quotePrefix="1" applyNumberFormat="1" applyFont="1" applyBorder="1" applyAlignment="1">
      <alignment vertical="top"/>
    </xf>
    <xf numFmtId="0" fontId="15" fillId="9" borderId="0" xfId="0" applyFont="1" applyFill="1" applyAlignment="1">
      <alignment vertical="top"/>
    </xf>
    <xf numFmtId="0" fontId="2" fillId="0" borderId="5" xfId="0" applyFont="1" applyBorder="1" applyAlignment="1">
      <alignment vertical="top"/>
    </xf>
    <xf numFmtId="0" fontId="2" fillId="0" borderId="8" xfId="0" applyFont="1" applyBorder="1" applyAlignment="1">
      <alignment vertical="top"/>
    </xf>
    <xf numFmtId="164" fontId="2" fillId="0" borderId="5" xfId="0" quotePrefix="1" applyNumberFormat="1" applyFont="1" applyBorder="1" applyAlignment="1">
      <alignment vertical="top"/>
    </xf>
    <xf numFmtId="9" fontId="2" fillId="10" borderId="5" xfId="0" applyNumberFormat="1" applyFont="1" applyFill="1" applyBorder="1" applyAlignment="1">
      <alignment vertical="top"/>
    </xf>
    <xf numFmtId="164" fontId="2" fillId="0" borderId="8" xfId="0" quotePrefix="1" applyNumberFormat="1" applyFont="1" applyBorder="1" applyAlignment="1">
      <alignment vertical="top"/>
    </xf>
    <xf numFmtId="9" fontId="2" fillId="0" borderId="5" xfId="0" quotePrefix="1" applyNumberFormat="1" applyFont="1" applyBorder="1" applyAlignment="1">
      <alignment vertical="top"/>
    </xf>
    <xf numFmtId="0" fontId="26" fillId="11" borderId="4" xfId="0" applyFont="1" applyFill="1" applyBorder="1" applyAlignment="1">
      <alignment vertical="center"/>
    </xf>
    <xf numFmtId="0" fontId="2" fillId="11" borderId="0" xfId="0" applyFont="1" applyFill="1" applyAlignment="1">
      <alignment vertical="center"/>
    </xf>
    <xf numFmtId="164" fontId="2" fillId="11" borderId="4" xfId="0" quotePrefix="1" applyNumberFormat="1" applyFont="1" applyFill="1" applyBorder="1" applyAlignment="1">
      <alignment vertical="center"/>
    </xf>
    <xf numFmtId="9" fontId="2" fillId="11" borderId="4" xfId="0" quotePrefix="1" applyNumberFormat="1" applyFont="1" applyFill="1" applyBorder="1" applyAlignment="1">
      <alignment vertical="center"/>
    </xf>
    <xf numFmtId="0" fontId="26" fillId="0" borderId="4" xfId="0" applyFont="1" applyBorder="1" applyAlignment="1">
      <alignment vertical="center"/>
    </xf>
    <xf numFmtId="0" fontId="2" fillId="0" borderId="9" xfId="0" applyFont="1" applyBorder="1" applyAlignment="1">
      <alignment vertical="center"/>
    </xf>
    <xf numFmtId="164" fontId="2" fillId="0" borderId="4" xfId="0" quotePrefix="1" applyNumberFormat="1" applyFont="1" applyBorder="1" applyAlignment="1">
      <alignment vertical="center"/>
    </xf>
    <xf numFmtId="9" fontId="2" fillId="0" borderId="4" xfId="0" quotePrefix="1" applyNumberFormat="1" applyFont="1" applyBorder="1" applyAlignment="1">
      <alignment vertical="center"/>
    </xf>
    <xf numFmtId="9" fontId="2" fillId="0" borderId="0" xfId="0" applyNumberFormat="1" applyFont="1"/>
    <xf numFmtId="0" fontId="27" fillId="0" borderId="0" xfId="0" applyFont="1"/>
    <xf numFmtId="0" fontId="26" fillId="0" borderId="0" xfId="0" applyFont="1"/>
    <xf numFmtId="0" fontId="26" fillId="0" borderId="0" xfId="0" applyFont="1" applyAlignment="1">
      <alignment vertical="center"/>
    </xf>
    <xf numFmtId="0" fontId="26" fillId="0" borderId="0" xfId="0" applyFont="1" applyAlignment="1">
      <alignment vertical="top"/>
    </xf>
    <xf numFmtId="0" fontId="28" fillId="0" borderId="0" xfId="0" applyFont="1" applyAlignment="1">
      <alignment vertical="top"/>
    </xf>
    <xf numFmtId="164" fontId="2" fillId="0" borderId="0" xfId="0" quotePrefix="1" applyNumberFormat="1" applyFont="1" applyAlignment="1">
      <alignment horizontal="right"/>
    </xf>
    <xf numFmtId="0" fontId="2" fillId="0" borderId="0" xfId="0" applyFont="1" applyAlignment="1">
      <alignment vertical="top"/>
    </xf>
    <xf numFmtId="0" fontId="14" fillId="0" borderId="0" xfId="0" applyFont="1" applyAlignment="1">
      <alignment vertical="top"/>
    </xf>
    <xf numFmtId="9" fontId="2" fillId="0" borderId="0" xfId="0" quotePrefix="1" applyNumberFormat="1" applyFont="1" applyAlignment="1">
      <alignment horizontal="right"/>
    </xf>
    <xf numFmtId="0" fontId="29" fillId="0" borderId="0" xfId="0" applyFont="1" applyAlignment="1">
      <alignment horizontal="centerContinuous"/>
    </xf>
    <xf numFmtId="0" fontId="5" fillId="0" borderId="1" xfId="0" applyFont="1" applyBorder="1" applyAlignment="1">
      <alignment horizontal="centerContinuous"/>
    </xf>
    <xf numFmtId="0" fontId="15" fillId="7" borderId="1" xfId="0" applyFont="1" applyFill="1" applyBorder="1"/>
    <xf numFmtId="0" fontId="15" fillId="7" borderId="1" xfId="0" applyFont="1" applyFill="1" applyBorder="1" applyAlignment="1">
      <alignment horizontal="center" vertical="center"/>
    </xf>
    <xf numFmtId="0" fontId="15" fillId="7" borderId="1" xfId="0" applyFont="1" applyFill="1" applyBorder="1" applyAlignment="1">
      <alignment horizontal="centerContinuous"/>
    </xf>
    <xf numFmtId="0" fontId="15" fillId="7" borderId="1" xfId="0" applyFont="1" applyFill="1" applyBorder="1" applyAlignment="1">
      <alignment horizontal="center"/>
    </xf>
    <xf numFmtId="0" fontId="15" fillId="7" borderId="2" xfId="0" quotePrefix="1" applyFont="1" applyFill="1" applyBorder="1" applyAlignment="1">
      <alignment horizontal="centerContinuous"/>
    </xf>
    <xf numFmtId="0" fontId="15" fillId="7" borderId="2" xfId="0" applyFont="1" applyFill="1" applyBorder="1" applyAlignment="1">
      <alignment horizontal="center" vertical="center"/>
    </xf>
    <xf numFmtId="0" fontId="15" fillId="7" borderId="2" xfId="0" applyFont="1" applyFill="1" applyBorder="1" applyAlignment="1">
      <alignment horizontal="center"/>
    </xf>
    <xf numFmtId="0" fontId="5" fillId="0" borderId="5" xfId="0" applyFont="1" applyBorder="1" applyAlignment="1">
      <alignment horizontal="centerContinuous"/>
    </xf>
    <xf numFmtId="0" fontId="15" fillId="7" borderId="5" xfId="0" applyFont="1" applyFill="1" applyBorder="1" applyAlignment="1">
      <alignment horizontal="center" vertical="center"/>
    </xf>
    <xf numFmtId="0" fontId="15" fillId="7" borderId="11" xfId="0" applyFont="1" applyFill="1" applyBorder="1" applyAlignment="1">
      <alignment horizontal="center" vertical="center"/>
    </xf>
    <xf numFmtId="0" fontId="2" fillId="12" borderId="4" xfId="0" applyFont="1" applyFill="1" applyBorder="1"/>
    <xf numFmtId="164" fontId="2" fillId="12" borderId="4" xfId="0" quotePrefix="1" applyNumberFormat="1" applyFont="1" applyFill="1" applyBorder="1" applyAlignment="1">
      <alignment horizontal="right"/>
    </xf>
    <xf numFmtId="9" fontId="2" fillId="12" borderId="4" xfId="0" quotePrefix="1" applyNumberFormat="1" applyFont="1" applyFill="1" applyBorder="1" applyAlignment="1">
      <alignment horizontal="right"/>
    </xf>
    <xf numFmtId="164" fontId="2" fillId="0" borderId="5" xfId="0" quotePrefix="1" applyNumberFormat="1" applyFont="1" applyBorder="1" applyAlignment="1">
      <alignment horizontal="right"/>
    </xf>
    <xf numFmtId="9" fontId="2" fillId="0" borderId="5" xfId="0" quotePrefix="1" applyNumberFormat="1" applyFont="1" applyBorder="1" applyAlignment="1">
      <alignment horizontal="right"/>
    </xf>
    <xf numFmtId="9" fontId="2" fillId="0" borderId="15" xfId="0" quotePrefix="1" applyNumberFormat="1" applyFont="1" applyBorder="1" applyAlignment="1">
      <alignment horizontal="right"/>
    </xf>
    <xf numFmtId="0" fontId="2" fillId="12" borderId="5" xfId="0" applyFont="1" applyFill="1" applyBorder="1"/>
    <xf numFmtId="164" fontId="2" fillId="12" borderId="5" xfId="0" quotePrefix="1" applyNumberFormat="1" applyFont="1" applyFill="1" applyBorder="1" applyAlignment="1">
      <alignment horizontal="right"/>
    </xf>
    <xf numFmtId="9" fontId="2" fillId="12" borderId="5" xfId="0" quotePrefix="1" applyNumberFormat="1" applyFont="1" applyFill="1" applyBorder="1" applyAlignment="1">
      <alignment horizontal="right"/>
    </xf>
    <xf numFmtId="9" fontId="2" fillId="12" borderId="15" xfId="0" quotePrefix="1" applyNumberFormat="1" applyFont="1" applyFill="1" applyBorder="1" applyAlignment="1">
      <alignment horizontal="right"/>
    </xf>
    <xf numFmtId="164" fontId="2" fillId="0" borderId="8" xfId="0" quotePrefix="1" applyNumberFormat="1" applyFont="1" applyBorder="1" applyAlignment="1">
      <alignment horizontal="right"/>
    </xf>
    <xf numFmtId="164" fontId="2" fillId="12" borderId="8" xfId="0" quotePrefix="1" applyNumberFormat="1" applyFont="1" applyFill="1" applyBorder="1" applyAlignment="1">
      <alignment horizontal="right"/>
    </xf>
    <xf numFmtId="0" fontId="2" fillId="0" borderId="2" xfId="0" applyFont="1" applyBorder="1"/>
    <xf numFmtId="0" fontId="2" fillId="12" borderId="2" xfId="0" applyFont="1" applyFill="1" applyBorder="1"/>
    <xf numFmtId="0" fontId="2" fillId="0" borderId="22" xfId="0" applyFont="1" applyBorder="1"/>
    <xf numFmtId="164" fontId="2" fillId="0" borderId="22" xfId="0" quotePrefix="1" applyNumberFormat="1" applyFont="1" applyBorder="1" applyAlignment="1">
      <alignment horizontal="right"/>
    </xf>
    <xf numFmtId="164" fontId="2" fillId="0" borderId="24" xfId="0" quotePrefix="1" applyNumberFormat="1" applyFont="1" applyBorder="1" applyAlignment="1">
      <alignment horizontal="right"/>
    </xf>
    <xf numFmtId="0" fontId="15" fillId="7" borderId="5" xfId="0" applyFont="1" applyFill="1" applyBorder="1"/>
    <xf numFmtId="164" fontId="15" fillId="7" borderId="5" xfId="0" quotePrefix="1" applyNumberFormat="1" applyFont="1" applyFill="1" applyBorder="1"/>
    <xf numFmtId="9" fontId="15" fillId="7" borderId="5" xfId="0" quotePrefix="1" applyNumberFormat="1" applyFont="1" applyFill="1" applyBorder="1"/>
    <xf numFmtId="164" fontId="15" fillId="7" borderId="8" xfId="0" quotePrefix="1" applyNumberFormat="1" applyFont="1" applyFill="1" applyBorder="1"/>
    <xf numFmtId="0" fontId="2" fillId="0" borderId="9" xfId="0" applyFont="1" applyBorder="1"/>
    <xf numFmtId="164" fontId="2" fillId="0" borderId="5" xfId="0" quotePrefix="1" applyNumberFormat="1" applyFont="1" applyBorder="1"/>
    <xf numFmtId="0" fontId="2" fillId="10" borderId="9" xfId="0" applyFont="1" applyFill="1" applyBorder="1"/>
    <xf numFmtId="9" fontId="2" fillId="0" borderId="5" xfId="0" quotePrefix="1" applyNumberFormat="1" applyFont="1" applyBorder="1"/>
    <xf numFmtId="0" fontId="27" fillId="0" borderId="0" xfId="0" applyFont="1" applyAlignment="1">
      <alignment vertical="center"/>
    </xf>
    <xf numFmtId="0" fontId="30" fillId="0" borderId="0" xfId="0" applyFont="1" applyAlignment="1">
      <alignment horizontal="centerContinuous"/>
    </xf>
    <xf numFmtId="0" fontId="15" fillId="13" borderId="1" xfId="0" applyFont="1" applyFill="1" applyBorder="1"/>
    <xf numFmtId="0" fontId="15" fillId="13" borderId="1" xfId="0" applyFont="1" applyFill="1" applyBorder="1" applyAlignment="1">
      <alignment horizontal="center"/>
    </xf>
    <xf numFmtId="0" fontId="15" fillId="13" borderId="1" xfId="0" applyFont="1" applyFill="1" applyBorder="1" applyAlignment="1">
      <alignment horizontal="centerContinuous"/>
    </xf>
    <xf numFmtId="0" fontId="15" fillId="13" borderId="2" xfId="0" quotePrefix="1" applyFont="1" applyFill="1" applyBorder="1" applyAlignment="1">
      <alignment horizontal="centerContinuous"/>
    </xf>
    <xf numFmtId="0" fontId="15" fillId="13" borderId="2" xfId="0" applyFont="1" applyFill="1" applyBorder="1" applyAlignment="1">
      <alignment horizontal="center"/>
    </xf>
    <xf numFmtId="0" fontId="15" fillId="13" borderId="5" xfId="0" applyFont="1" applyFill="1" applyBorder="1" applyAlignment="1">
      <alignment horizontal="center"/>
    </xf>
    <xf numFmtId="0" fontId="15" fillId="13" borderId="15" xfId="0" applyFont="1" applyFill="1" applyBorder="1" applyAlignment="1">
      <alignment horizontal="center"/>
    </xf>
    <xf numFmtId="0" fontId="2" fillId="14" borderId="4" xfId="0" applyFont="1" applyFill="1" applyBorder="1"/>
    <xf numFmtId="0" fontId="2" fillId="14" borderId="5" xfId="0" applyFont="1" applyFill="1" applyBorder="1"/>
    <xf numFmtId="164" fontId="2" fillId="14" borderId="5" xfId="0" quotePrefix="1" applyNumberFormat="1" applyFont="1" applyFill="1" applyBorder="1" applyAlignment="1">
      <alignment horizontal="right"/>
    </xf>
    <xf numFmtId="9" fontId="2" fillId="14" borderId="5" xfId="0" quotePrefix="1" applyNumberFormat="1" applyFont="1" applyFill="1" applyBorder="1" applyAlignment="1">
      <alignment horizontal="right"/>
    </xf>
    <xf numFmtId="0" fontId="2" fillId="14" borderId="2" xfId="0" applyFont="1" applyFill="1" applyBorder="1"/>
    <xf numFmtId="164" fontId="2" fillId="14" borderId="8" xfId="0" quotePrefix="1" applyNumberFormat="1" applyFont="1" applyFill="1" applyBorder="1" applyAlignment="1">
      <alignment horizontal="right"/>
    </xf>
    <xf numFmtId="0" fontId="15" fillId="13" borderId="5" xfId="0" applyFont="1" applyFill="1" applyBorder="1"/>
    <xf numFmtId="164" fontId="15" fillId="13" borderId="5" xfId="0" quotePrefix="1" applyNumberFormat="1" applyFont="1" applyFill="1" applyBorder="1"/>
    <xf numFmtId="9" fontId="15" fillId="13" borderId="5" xfId="0" quotePrefix="1" applyNumberFormat="1" applyFont="1" applyFill="1" applyBorder="1"/>
    <xf numFmtId="0" fontId="2" fillId="0" borderId="15" xfId="0" applyFont="1" applyBorder="1"/>
    <xf numFmtId="0" fontId="2" fillId="10" borderId="5" xfId="0" applyFont="1" applyFill="1" applyBorder="1"/>
    <xf numFmtId="0" fontId="27" fillId="0" borderId="0" xfId="0" applyFont="1" applyAlignment="1">
      <alignment horizontal="left"/>
    </xf>
    <xf numFmtId="0" fontId="31" fillId="0" borderId="0" xfId="0" applyFont="1" applyAlignment="1">
      <alignment vertical="top"/>
    </xf>
    <xf numFmtId="0" fontId="15" fillId="8" borderId="14" xfId="0" applyFont="1" applyFill="1" applyBorder="1"/>
    <xf numFmtId="0" fontId="15" fillId="8" borderId="70" xfId="0" applyFont="1" applyFill="1" applyBorder="1" applyAlignment="1">
      <alignment horizontal="center"/>
    </xf>
    <xf numFmtId="0" fontId="15" fillId="8" borderId="70" xfId="0" applyFont="1" applyFill="1" applyBorder="1" applyAlignment="1">
      <alignment horizontal="centerContinuous"/>
    </xf>
    <xf numFmtId="0" fontId="15" fillId="8" borderId="70" xfId="0" applyFont="1" applyFill="1" applyBorder="1"/>
    <xf numFmtId="0" fontId="15" fillId="8" borderId="11" xfId="0" quotePrefix="1" applyFont="1" applyFill="1" applyBorder="1" applyAlignment="1">
      <alignment horizontal="centerContinuous"/>
    </xf>
    <xf numFmtId="0" fontId="15" fillId="8" borderId="69" xfId="0" applyFont="1" applyFill="1" applyBorder="1" applyAlignment="1">
      <alignment horizontal="center"/>
    </xf>
    <xf numFmtId="0" fontId="15" fillId="8" borderId="69" xfId="0" quotePrefix="1" applyFont="1" applyFill="1" applyBorder="1" applyAlignment="1">
      <alignment horizontal="centerContinuous"/>
    </xf>
    <xf numFmtId="0" fontId="15" fillId="8" borderId="15" xfId="0" applyFont="1" applyFill="1" applyBorder="1" applyAlignment="1">
      <alignment horizontal="center"/>
    </xf>
    <xf numFmtId="0" fontId="15" fillId="8" borderId="71" xfId="0" applyFont="1" applyFill="1" applyBorder="1" applyAlignment="1">
      <alignment horizontal="center"/>
    </xf>
    <xf numFmtId="0" fontId="2" fillId="16" borderId="4" xfId="0" applyFont="1" applyFill="1" applyBorder="1"/>
    <xf numFmtId="164" fontId="2" fillId="16" borderId="4" xfId="0" quotePrefix="1" applyNumberFormat="1" applyFont="1" applyFill="1" applyBorder="1" applyAlignment="1">
      <alignment horizontal="right"/>
    </xf>
    <xf numFmtId="9" fontId="2" fillId="16" borderId="4" xfId="0" quotePrefix="1" applyNumberFormat="1" applyFont="1" applyFill="1" applyBorder="1" applyAlignment="1">
      <alignment horizontal="right"/>
    </xf>
    <xf numFmtId="0" fontId="2" fillId="16" borderId="5" xfId="0" applyFont="1" applyFill="1" applyBorder="1"/>
    <xf numFmtId="164" fontId="2" fillId="16" borderId="5" xfId="0" quotePrefix="1" applyNumberFormat="1" applyFont="1" applyFill="1" applyBorder="1" applyAlignment="1">
      <alignment horizontal="right"/>
    </xf>
    <xf numFmtId="9" fontId="2" fillId="16" borderId="5" xfId="0" quotePrefix="1" applyNumberFormat="1" applyFont="1" applyFill="1" applyBorder="1" applyAlignment="1">
      <alignment horizontal="right"/>
    </xf>
    <xf numFmtId="0" fontId="2" fillId="0" borderId="38" xfId="0" applyFont="1" applyBorder="1"/>
    <xf numFmtId="164" fontId="2" fillId="0" borderId="38" xfId="0" quotePrefix="1" applyNumberFormat="1" applyFont="1" applyBorder="1" applyAlignment="1">
      <alignment horizontal="right"/>
    </xf>
    <xf numFmtId="9" fontId="2" fillId="0" borderId="38" xfId="0" quotePrefix="1" applyNumberFormat="1" applyFont="1" applyBorder="1" applyAlignment="1">
      <alignment horizontal="right"/>
    </xf>
    <xf numFmtId="0" fontId="15" fillId="8" borderId="67" xfId="0" applyFont="1" applyFill="1" applyBorder="1"/>
    <xf numFmtId="0" fontId="15" fillId="8" borderId="39" xfId="0" applyFont="1" applyFill="1" applyBorder="1"/>
    <xf numFmtId="164" fontId="15" fillId="8" borderId="76" xfId="0" quotePrefix="1" applyNumberFormat="1" applyFont="1" applyFill="1" applyBorder="1"/>
    <xf numFmtId="9" fontId="15" fillId="8" borderId="76" xfId="0" quotePrefix="1" applyNumberFormat="1" applyFont="1" applyFill="1" applyBorder="1"/>
    <xf numFmtId="164" fontId="2" fillId="0" borderId="9" xfId="0" quotePrefix="1" applyNumberFormat="1" applyFont="1" applyBorder="1"/>
    <xf numFmtId="3" fontId="2" fillId="0" borderId="0" xfId="0" applyNumberFormat="1" applyFont="1" applyAlignment="1">
      <alignment horizontal="center"/>
    </xf>
    <xf numFmtId="3" fontId="2" fillId="0" borderId="0" xfId="0" quotePrefix="1" applyNumberFormat="1" applyFont="1" applyAlignment="1">
      <alignment horizontal="right"/>
    </xf>
    <xf numFmtId="9" fontId="2" fillId="0" borderId="0" xfId="0" applyNumberFormat="1" applyFont="1" applyAlignment="1">
      <alignment horizontal="right"/>
    </xf>
    <xf numFmtId="0" fontId="32" fillId="0" borderId="0" xfId="0" applyFont="1" applyAlignment="1">
      <alignment horizontal="centerContinuous"/>
    </xf>
    <xf numFmtId="0" fontId="15" fillId="15" borderId="1" xfId="0" applyFont="1" applyFill="1" applyBorder="1"/>
    <xf numFmtId="0" fontId="15" fillId="15" borderId="1" xfId="0" applyFont="1" applyFill="1" applyBorder="1" applyAlignment="1">
      <alignment horizontal="center"/>
    </xf>
    <xf numFmtId="0" fontId="15" fillId="15" borderId="2" xfId="0" quotePrefix="1" applyFont="1" applyFill="1" applyBorder="1" applyAlignment="1">
      <alignment horizontal="center"/>
    </xf>
    <xf numFmtId="0" fontId="15" fillId="15" borderId="2" xfId="0" applyFont="1" applyFill="1" applyBorder="1" applyAlignment="1">
      <alignment horizontal="center"/>
    </xf>
    <xf numFmtId="0" fontId="5" fillId="0" borderId="5" xfId="0" applyFont="1" applyBorder="1" applyAlignment="1">
      <alignment horizontal="center"/>
    </xf>
    <xf numFmtId="0" fontId="15" fillId="15" borderId="5" xfId="0" applyFont="1" applyFill="1" applyBorder="1" applyAlignment="1">
      <alignment horizontal="center"/>
    </xf>
    <xf numFmtId="0" fontId="15" fillId="15" borderId="11" xfId="0" applyFont="1" applyFill="1" applyBorder="1" applyAlignment="1">
      <alignment horizontal="center"/>
    </xf>
    <xf numFmtId="0" fontId="2" fillId="11" borderId="4" xfId="0" applyFont="1" applyFill="1" applyBorder="1"/>
    <xf numFmtId="164" fontId="2" fillId="11" borderId="4" xfId="0" quotePrefix="1" applyNumberFormat="1" applyFont="1" applyFill="1" applyBorder="1" applyAlignment="1">
      <alignment horizontal="right"/>
    </xf>
    <xf numFmtId="9" fontId="2" fillId="11" borderId="4" xfId="0" quotePrefix="1" applyNumberFormat="1" applyFont="1" applyFill="1" applyBorder="1" applyAlignment="1">
      <alignment horizontal="right"/>
    </xf>
    <xf numFmtId="0" fontId="2" fillId="11" borderId="5" xfId="0" applyFont="1" applyFill="1" applyBorder="1"/>
    <xf numFmtId="164" fontId="2" fillId="11" borderId="5" xfId="0" quotePrefix="1" applyNumberFormat="1" applyFont="1" applyFill="1" applyBorder="1" applyAlignment="1">
      <alignment horizontal="right"/>
    </xf>
    <xf numFmtId="9" fontId="2" fillId="11" borderId="5" xfId="0" quotePrefix="1" applyNumberFormat="1" applyFont="1" applyFill="1" applyBorder="1" applyAlignment="1">
      <alignment horizontal="right"/>
    </xf>
    <xf numFmtId="164" fontId="2" fillId="11" borderId="8" xfId="0" quotePrefix="1" applyNumberFormat="1" applyFont="1" applyFill="1" applyBorder="1" applyAlignment="1">
      <alignment horizontal="right"/>
    </xf>
    <xf numFmtId="0" fontId="15" fillId="15" borderId="5" xfId="0" applyFont="1" applyFill="1" applyBorder="1"/>
    <xf numFmtId="164" fontId="15" fillId="15" borderId="5" xfId="0" quotePrefix="1" applyNumberFormat="1" applyFont="1" applyFill="1" applyBorder="1"/>
    <xf numFmtId="9" fontId="15" fillId="15" borderId="5" xfId="0" quotePrefix="1" applyNumberFormat="1" applyFont="1" applyFill="1" applyBorder="1"/>
    <xf numFmtId="0" fontId="28" fillId="0" borderId="0" xfId="0" applyFont="1"/>
    <xf numFmtId="165" fontId="2" fillId="0" borderId="0" xfId="0" applyNumberFormat="1" applyFont="1"/>
    <xf numFmtId="0" fontId="33" fillId="0" borderId="0" xfId="0" applyFont="1" applyAlignment="1">
      <alignment horizontal="centerContinuous"/>
    </xf>
    <xf numFmtId="0" fontId="5" fillId="0" borderId="0" xfId="0" applyFont="1" applyAlignment="1">
      <alignment horizontal="center"/>
    </xf>
    <xf numFmtId="0" fontId="24" fillId="6" borderId="1" xfId="0" quotePrefix="1" applyFont="1" applyFill="1" applyBorder="1" applyAlignment="1">
      <alignment horizontal="center"/>
    </xf>
    <xf numFmtId="0" fontId="15" fillId="6" borderId="12" xfId="0" applyFont="1" applyFill="1" applyBorder="1" applyAlignment="1">
      <alignment horizontal="center"/>
    </xf>
    <xf numFmtId="0" fontId="15" fillId="6" borderId="1" xfId="0" applyFont="1" applyFill="1" applyBorder="1" applyAlignment="1">
      <alignment horizontal="center"/>
    </xf>
    <xf numFmtId="0" fontId="24" fillId="6" borderId="5" xfId="0" applyFont="1" applyFill="1" applyBorder="1" applyAlignment="1">
      <alignment horizontal="center"/>
    </xf>
    <xf numFmtId="0" fontId="15" fillId="6" borderId="8" xfId="0" applyFont="1" applyFill="1" applyBorder="1" applyAlignment="1">
      <alignment horizontal="center"/>
    </xf>
    <xf numFmtId="0" fontId="15" fillId="6" borderId="5" xfId="0" applyFont="1" applyFill="1" applyBorder="1" applyAlignment="1">
      <alignment horizontal="center"/>
    </xf>
    <xf numFmtId="0" fontId="2" fillId="18" borderId="4" xfId="0" applyFont="1" applyFill="1" applyBorder="1"/>
    <xf numFmtId="0" fontId="2" fillId="18" borderId="5" xfId="0" applyFont="1" applyFill="1" applyBorder="1"/>
    <xf numFmtId="164" fontId="2" fillId="18" borderId="15" xfId="0" quotePrefix="1" applyNumberFormat="1" applyFont="1" applyFill="1" applyBorder="1"/>
    <xf numFmtId="3" fontId="2" fillId="0" borderId="2" xfId="0" applyNumberFormat="1" applyFont="1" applyBorder="1"/>
    <xf numFmtId="9" fontId="2" fillId="18" borderId="2" xfId="0" quotePrefix="1" applyNumberFormat="1" applyFont="1" applyFill="1" applyBorder="1"/>
    <xf numFmtId="164" fontId="2" fillId="0" borderId="14" xfId="0" quotePrefix="1" applyNumberFormat="1" applyFont="1" applyBorder="1"/>
    <xf numFmtId="9" fontId="2" fillId="0" borderId="4" xfId="0" quotePrefix="1" applyNumberFormat="1" applyFont="1" applyBorder="1"/>
    <xf numFmtId="164" fontId="2" fillId="18" borderId="16" xfId="0" quotePrefix="1" applyNumberFormat="1" applyFont="1" applyFill="1" applyBorder="1"/>
    <xf numFmtId="9" fontId="2" fillId="18" borderId="4" xfId="0" quotePrefix="1" applyNumberFormat="1" applyFont="1" applyFill="1" applyBorder="1"/>
    <xf numFmtId="0" fontId="2" fillId="3" borderId="4" xfId="0" applyFont="1" applyFill="1" applyBorder="1"/>
    <xf numFmtId="164" fontId="2" fillId="0" borderId="16" xfId="0" quotePrefix="1" applyNumberFormat="1" applyFont="1" applyBorder="1"/>
    <xf numFmtId="0" fontId="2" fillId="19" borderId="4" xfId="0" applyFont="1" applyFill="1" applyBorder="1"/>
    <xf numFmtId="164" fontId="2" fillId="0" borderId="16" xfId="0" applyNumberFormat="1" applyFont="1" applyBorder="1"/>
    <xf numFmtId="0" fontId="7" fillId="0" borderId="4" xfId="0" applyFont="1" applyBorder="1"/>
    <xf numFmtId="0" fontId="7" fillId="18" borderId="4" xfId="0" applyFont="1" applyFill="1" applyBorder="1"/>
    <xf numFmtId="164" fontId="2" fillId="18" borderId="16" xfId="0" applyNumberFormat="1" applyFont="1" applyFill="1" applyBorder="1"/>
    <xf numFmtId="0" fontId="7" fillId="0" borderId="1" xfId="0" applyFont="1" applyBorder="1"/>
    <xf numFmtId="164" fontId="2" fillId="0" borderId="14" xfId="0" applyNumberFormat="1" applyFont="1" applyBorder="1"/>
    <xf numFmtId="0" fontId="2" fillId="18" borderId="1" xfId="0" applyFont="1" applyFill="1" applyBorder="1"/>
    <xf numFmtId="0" fontId="7" fillId="18" borderId="1" xfId="0" applyFont="1" applyFill="1" applyBorder="1"/>
    <xf numFmtId="164" fontId="2" fillId="18" borderId="14" xfId="0" applyNumberFormat="1" applyFont="1" applyFill="1" applyBorder="1"/>
    <xf numFmtId="9" fontId="2" fillId="17" borderId="47" xfId="0" applyNumberFormat="1" applyFont="1" applyFill="1" applyBorder="1"/>
    <xf numFmtId="164" fontId="2" fillId="18" borderId="14" xfId="0" quotePrefix="1" applyNumberFormat="1" applyFont="1" applyFill="1" applyBorder="1"/>
    <xf numFmtId="9" fontId="2" fillId="17" borderId="32" xfId="0" applyNumberFormat="1" applyFont="1" applyFill="1" applyBorder="1"/>
    <xf numFmtId="9" fontId="2" fillId="17" borderId="25" xfId="0" applyNumberFormat="1" applyFont="1" applyFill="1" applyBorder="1"/>
    <xf numFmtId="9" fontId="2" fillId="10" borderId="33" xfId="0" applyNumberFormat="1" applyFont="1" applyFill="1" applyBorder="1"/>
    <xf numFmtId="0" fontId="2" fillId="0" borderId="1" xfId="0" quotePrefix="1" applyFont="1" applyBorder="1"/>
    <xf numFmtId="0" fontId="2" fillId="18" borderId="1" xfId="0" quotePrefix="1" applyFont="1" applyFill="1" applyBorder="1"/>
    <xf numFmtId="0" fontId="24" fillId="6" borderId="34" xfId="0" applyFont="1" applyFill="1" applyBorder="1"/>
    <xf numFmtId="0" fontId="15" fillId="6" borderId="34" xfId="0" applyFont="1" applyFill="1" applyBorder="1"/>
    <xf numFmtId="164" fontId="24" fillId="6" borderId="34" xfId="0" quotePrefix="1" applyNumberFormat="1" applyFont="1" applyFill="1" applyBorder="1"/>
    <xf numFmtId="9" fontId="24" fillId="6" borderId="34" xfId="0" quotePrefix="1" applyNumberFormat="1" applyFont="1" applyFill="1" applyBorder="1"/>
    <xf numFmtId="166" fontId="2" fillId="0" borderId="14" xfId="0" quotePrefix="1" applyNumberFormat="1" applyFont="1" applyBorder="1"/>
    <xf numFmtId="9" fontId="2" fillId="18" borderId="3" xfId="0" quotePrefix="1" applyNumberFormat="1" applyFont="1" applyFill="1" applyBorder="1"/>
    <xf numFmtId="0" fontId="2" fillId="0" borderId="31" xfId="0" applyFont="1" applyBorder="1"/>
    <xf numFmtId="164" fontId="2" fillId="0" borderId="31" xfId="0" quotePrefix="1" applyNumberFormat="1" applyFont="1" applyBorder="1"/>
    <xf numFmtId="9" fontId="2" fillId="0" borderId="45" xfId="0" quotePrefix="1" applyNumberFormat="1" applyFont="1" applyBorder="1"/>
    <xf numFmtId="0" fontId="2" fillId="0" borderId="44" xfId="0" applyFont="1" applyBorder="1"/>
    <xf numFmtId="164" fontId="2" fillId="0" borderId="44" xfId="0" quotePrefix="1" applyNumberFormat="1" applyFont="1" applyBorder="1"/>
    <xf numFmtId="9" fontId="2" fillId="0" borderId="38" xfId="0" quotePrefix="1" applyNumberFormat="1" applyFont="1" applyBorder="1"/>
    <xf numFmtId="0" fontId="24" fillId="6" borderId="5" xfId="0" applyFont="1" applyFill="1" applyBorder="1"/>
    <xf numFmtId="0" fontId="15" fillId="6" borderId="5" xfId="0" applyFont="1" applyFill="1" applyBorder="1"/>
    <xf numFmtId="164" fontId="24" fillId="6" borderId="5" xfId="0" quotePrefix="1" applyNumberFormat="1" applyFont="1" applyFill="1" applyBorder="1"/>
    <xf numFmtId="9" fontId="24" fillId="6" borderId="5" xfId="0" quotePrefix="1" applyNumberFormat="1" applyFont="1" applyFill="1" applyBorder="1"/>
    <xf numFmtId="164" fontId="2" fillId="0" borderId="0" xfId="0" applyNumberFormat="1" applyFont="1" applyAlignment="1">
      <alignment horizontal="centerContinuous"/>
    </xf>
    <xf numFmtId="0" fontId="15" fillId="6" borderId="1" xfId="0" quotePrefix="1" applyFont="1" applyFill="1" applyBorder="1" applyAlignment="1">
      <alignment horizontal="center"/>
    </xf>
    <xf numFmtId="0" fontId="2" fillId="0" borderId="4" xfId="0" quotePrefix="1" applyFont="1" applyBorder="1"/>
    <xf numFmtId="164" fontId="15" fillId="6" borderId="34" xfId="0" quotePrefix="1" applyNumberFormat="1" applyFont="1" applyFill="1" applyBorder="1"/>
    <xf numFmtId="9" fontId="15" fillId="6" borderId="34" xfId="0" quotePrefix="1" applyNumberFormat="1" applyFont="1" applyFill="1" applyBorder="1"/>
    <xf numFmtId="164" fontId="15" fillId="6" borderId="5" xfId="0" quotePrefix="1" applyNumberFormat="1" applyFont="1" applyFill="1" applyBorder="1"/>
    <xf numFmtId="9" fontId="15" fillId="6" borderId="5" xfId="0" quotePrefix="1" applyNumberFormat="1" applyFont="1" applyFill="1" applyBorder="1"/>
    <xf numFmtId="3" fontId="2" fillId="0" borderId="2" xfId="0" quotePrefix="1" applyNumberFormat="1" applyFont="1" applyBorder="1"/>
    <xf numFmtId="3" fontId="2" fillId="0" borderId="0" xfId="0" quotePrefix="1" applyNumberFormat="1" applyFont="1"/>
    <xf numFmtId="0" fontId="7" fillId="0" borderId="0" xfId="0" applyFont="1" applyAlignment="1">
      <alignment horizontal="centerContinuous"/>
    </xf>
    <xf numFmtId="0" fontId="5" fillId="0" borderId="14" xfId="0" applyFont="1" applyBorder="1" applyAlignment="1">
      <alignment horizontal="center"/>
    </xf>
    <xf numFmtId="0" fontId="5" fillId="0" borderId="9" xfId="0" applyFont="1" applyBorder="1" applyAlignment="1">
      <alignment horizontal="center"/>
    </xf>
    <xf numFmtId="0" fontId="2" fillId="0" borderId="9" xfId="0" applyFont="1" applyBorder="1" applyAlignment="1">
      <alignment horizontal="center"/>
    </xf>
    <xf numFmtId="0" fontId="15" fillId="6" borderId="2" xfId="0" quotePrefix="1" applyFont="1" applyFill="1" applyBorder="1" applyAlignment="1">
      <alignment horizontal="center"/>
    </xf>
    <xf numFmtId="3" fontId="2" fillId="0" borderId="14" xfId="0" applyNumberFormat="1" applyFont="1" applyBorder="1"/>
    <xf numFmtId="0" fontId="14" fillId="0" borderId="11" xfId="0" applyFont="1" applyBorder="1"/>
    <xf numFmtId="3" fontId="2" fillId="0" borderId="10" xfId="0" applyNumberFormat="1" applyFont="1" applyBorder="1"/>
    <xf numFmtId="3" fontId="2" fillId="0" borderId="1" xfId="0" applyNumberFormat="1" applyFont="1" applyBorder="1"/>
    <xf numFmtId="0" fontId="5" fillId="0" borderId="14" xfId="0" applyFont="1" applyBorder="1" applyAlignment="1">
      <alignment horizontal="centerContinuous"/>
    </xf>
    <xf numFmtId="0" fontId="15" fillId="6" borderId="1" xfId="0" applyFont="1" applyFill="1" applyBorder="1" applyAlignment="1">
      <alignment horizontal="centerContinuous"/>
    </xf>
    <xf numFmtId="0" fontId="15" fillId="6" borderId="5" xfId="0" applyFont="1" applyFill="1" applyBorder="1" applyAlignment="1">
      <alignment horizontal="centerContinuous"/>
    </xf>
    <xf numFmtId="164" fontId="2" fillId="0" borderId="31" xfId="0" applyNumberFormat="1" applyFont="1" applyBorder="1"/>
    <xf numFmtId="164" fontId="2" fillId="18" borderId="15" xfId="0" applyNumberFormat="1" applyFont="1" applyFill="1" applyBorder="1"/>
    <xf numFmtId="164" fontId="2" fillId="0" borderId="44" xfId="0" applyNumberFormat="1" applyFont="1" applyBorder="1"/>
    <xf numFmtId="0" fontId="3" fillId="0" borderId="0" xfId="0" applyFont="1" applyAlignment="1">
      <alignment horizontal="left"/>
    </xf>
    <xf numFmtId="0" fontId="34" fillId="0" borderId="0" xfId="0" applyFont="1"/>
    <xf numFmtId="0" fontId="2" fillId="18" borderId="19" xfId="0" applyFont="1" applyFill="1" applyBorder="1"/>
    <xf numFmtId="164" fontId="2" fillId="18" borderId="19" xfId="0" quotePrefix="1" applyNumberFormat="1" applyFont="1" applyFill="1" applyBorder="1"/>
    <xf numFmtId="0" fontId="35" fillId="0" borderId="0" xfId="0" applyFont="1"/>
    <xf numFmtId="0" fontId="35" fillId="0" borderId="0" xfId="0" quotePrefix="1" applyFont="1"/>
    <xf numFmtId="166" fontId="35" fillId="0" borderId="0" xfId="0" quotePrefix="1" applyNumberFormat="1" applyFont="1"/>
    <xf numFmtId="0" fontId="36" fillId="0" borderId="0" xfId="0" applyFont="1" applyAlignment="1">
      <alignment horizontal="centerContinuous"/>
    </xf>
    <xf numFmtId="164" fontId="2" fillId="0" borderId="4" xfId="0" quotePrefix="1" applyNumberFormat="1" applyFont="1" applyBorder="1"/>
    <xf numFmtId="9" fontId="2" fillId="0" borderId="4" xfId="0" quotePrefix="1" applyNumberFormat="1" applyFont="1" applyBorder="1" applyAlignment="1">
      <alignment horizontal="right"/>
    </xf>
    <xf numFmtId="9" fontId="2" fillId="18" borderId="2" xfId="0" quotePrefix="1" applyNumberFormat="1" applyFont="1" applyFill="1" applyBorder="1" applyAlignment="1">
      <alignment horizontal="right"/>
    </xf>
    <xf numFmtId="9" fontId="2" fillId="18" borderId="4" xfId="0" quotePrefix="1" applyNumberFormat="1" applyFont="1" applyFill="1" applyBorder="1" applyAlignment="1">
      <alignment horizontal="right"/>
    </xf>
    <xf numFmtId="9" fontId="2" fillId="0" borderId="4" xfId="0" applyNumberFormat="1" applyFont="1" applyBorder="1" applyAlignment="1">
      <alignment horizontal="right"/>
    </xf>
    <xf numFmtId="9" fontId="2" fillId="18" borderId="4" xfId="0" applyNumberFormat="1" applyFont="1" applyFill="1" applyBorder="1" applyAlignment="1">
      <alignment horizontal="right"/>
    </xf>
    <xf numFmtId="0" fontId="37" fillId="0" borderId="0" xfId="0" applyFont="1"/>
    <xf numFmtId="0" fontId="2" fillId="18" borderId="4" xfId="0" quotePrefix="1" applyFont="1" applyFill="1" applyBorder="1"/>
    <xf numFmtId="9" fontId="2" fillId="17" borderId="47" xfId="0" quotePrefix="1" applyNumberFormat="1" applyFont="1" applyFill="1" applyBorder="1" applyAlignment="1">
      <alignment horizontal="right"/>
    </xf>
    <xf numFmtId="9" fontId="2" fillId="17" borderId="32" xfId="0" applyNumberFormat="1" applyFont="1" applyFill="1" applyBorder="1" applyAlignment="1">
      <alignment horizontal="right"/>
    </xf>
    <xf numFmtId="9" fontId="2" fillId="17" borderId="25" xfId="0" quotePrefix="1" applyNumberFormat="1" applyFont="1" applyFill="1" applyBorder="1" applyAlignment="1">
      <alignment horizontal="right"/>
    </xf>
    <xf numFmtId="9" fontId="2" fillId="10" borderId="33" xfId="0" quotePrefix="1" applyNumberFormat="1" applyFont="1" applyFill="1" applyBorder="1" applyAlignment="1">
      <alignment horizontal="right"/>
    </xf>
    <xf numFmtId="0" fontId="2" fillId="18" borderId="44" xfId="0" applyFont="1" applyFill="1" applyBorder="1"/>
    <xf numFmtId="0" fontId="7" fillId="18" borderId="44" xfId="0" applyFont="1" applyFill="1" applyBorder="1"/>
    <xf numFmtId="164" fontId="2" fillId="18" borderId="44" xfId="0" applyNumberFormat="1" applyFont="1" applyFill="1" applyBorder="1"/>
    <xf numFmtId="9" fontId="2" fillId="18" borderId="44" xfId="0" quotePrefix="1" applyNumberFormat="1" applyFont="1" applyFill="1" applyBorder="1" applyAlignment="1">
      <alignment horizontal="right"/>
    </xf>
    <xf numFmtId="0" fontId="15" fillId="20" borderId="4" xfId="0" applyFont="1" applyFill="1" applyBorder="1"/>
    <xf numFmtId="164" fontId="15" fillId="20" borderId="4" xfId="0" quotePrefix="1" applyNumberFormat="1" applyFont="1" applyFill="1" applyBorder="1"/>
    <xf numFmtId="9" fontId="15" fillId="20" borderId="4" xfId="0" quotePrefix="1" applyNumberFormat="1" applyFont="1" applyFill="1" applyBorder="1" applyAlignment="1">
      <alignment horizontal="right"/>
    </xf>
    <xf numFmtId="166" fontId="2" fillId="0" borderId="5" xfId="0" quotePrefix="1" applyNumberFormat="1" applyFont="1" applyBorder="1"/>
    <xf numFmtId="9" fontId="2" fillId="18" borderId="19" xfId="0" quotePrefix="1" applyNumberFormat="1" applyFont="1" applyFill="1" applyBorder="1" applyAlignment="1">
      <alignment horizontal="right"/>
    </xf>
    <xf numFmtId="9" fontId="2" fillId="0" borderId="2" xfId="0" quotePrefix="1" applyNumberFormat="1" applyFont="1" applyBorder="1" applyAlignment="1">
      <alignment horizontal="right"/>
    </xf>
    <xf numFmtId="164" fontId="2" fillId="18" borderId="4" xfId="0" applyNumberFormat="1" applyFont="1" applyFill="1" applyBorder="1"/>
    <xf numFmtId="9" fontId="2" fillId="0" borderId="44" xfId="0" quotePrefix="1" applyNumberFormat="1" applyFont="1" applyBorder="1" applyAlignment="1">
      <alignment horizontal="right"/>
    </xf>
    <xf numFmtId="9" fontId="15" fillId="6" borderId="5" xfId="0" quotePrefix="1" applyNumberFormat="1" applyFont="1" applyFill="1" applyBorder="1" applyAlignment="1">
      <alignment horizontal="right"/>
    </xf>
    <xf numFmtId="0" fontId="38" fillId="0" borderId="0" xfId="0" applyFont="1" applyAlignment="1">
      <alignment horizontal="centerContinuous"/>
    </xf>
    <xf numFmtId="167" fontId="15" fillId="13" borderId="5" xfId="0" quotePrefix="1" applyNumberFormat="1" applyFont="1" applyFill="1" applyBorder="1" applyAlignment="1">
      <alignment horizontal="center"/>
    </xf>
    <xf numFmtId="49" fontId="2" fillId="14" borderId="4" xfId="0" applyNumberFormat="1" applyFont="1" applyFill="1" applyBorder="1"/>
    <xf numFmtId="169" fontId="7" fillId="0" borderId="4" xfId="0" applyNumberFormat="1" applyFont="1" applyBorder="1"/>
    <xf numFmtId="164" fontId="2" fillId="14" borderId="4" xfId="0" quotePrefix="1" applyNumberFormat="1" applyFont="1" applyFill="1" applyBorder="1"/>
    <xf numFmtId="167" fontId="2" fillId="0" borderId="0" xfId="0" applyNumberFormat="1" applyFont="1"/>
    <xf numFmtId="49" fontId="2" fillId="0" borderId="0" xfId="0" applyNumberFormat="1" applyFont="1"/>
    <xf numFmtId="164" fontId="2" fillId="0" borderId="4" xfId="0" applyNumberFormat="1" applyFont="1" applyBorder="1"/>
    <xf numFmtId="0" fontId="2" fillId="14" borderId="4" xfId="0" quotePrefix="1" applyFont="1" applyFill="1" applyBorder="1"/>
    <xf numFmtId="0" fontId="15" fillId="13" borderId="30" xfId="0" applyFont="1" applyFill="1" applyBorder="1"/>
    <xf numFmtId="0" fontId="15" fillId="13" borderId="4" xfId="0" applyFont="1" applyFill="1" applyBorder="1"/>
    <xf numFmtId="164" fontId="15" fillId="13" borderId="30" xfId="0" quotePrefix="1" applyNumberFormat="1" applyFont="1" applyFill="1" applyBorder="1"/>
    <xf numFmtId="166" fontId="2" fillId="0" borderId="4" xfId="0" quotePrefix="1" applyNumberFormat="1" applyFont="1" applyBorder="1"/>
    <xf numFmtId="0" fontId="2" fillId="14" borderId="19" xfId="0" applyFont="1" applyFill="1" applyBorder="1"/>
    <xf numFmtId="164" fontId="2" fillId="14" borderId="19" xfId="0" quotePrefix="1" applyNumberFormat="1" applyFont="1" applyFill="1" applyBorder="1"/>
    <xf numFmtId="0" fontId="7" fillId="14" borderId="4" xfId="0" applyFont="1" applyFill="1" applyBorder="1"/>
    <xf numFmtId="0" fontId="2" fillId="0" borderId="7" xfId="0" applyFont="1" applyBorder="1"/>
    <xf numFmtId="164" fontId="2" fillId="0" borderId="7" xfId="0" quotePrefix="1" applyNumberFormat="1" applyFont="1" applyBorder="1"/>
    <xf numFmtId="167" fontId="2" fillId="0" borderId="0" xfId="0" quotePrefix="1" applyNumberFormat="1" applyFont="1" applyAlignment="1">
      <alignment horizontal="right"/>
    </xf>
    <xf numFmtId="0" fontId="8" fillId="0" borderId="0" xfId="0" applyFont="1"/>
    <xf numFmtId="0" fontId="2" fillId="13" borderId="4" xfId="0" applyFont="1" applyFill="1" applyBorder="1"/>
    <xf numFmtId="164" fontId="2" fillId="13" borderId="4" xfId="0" quotePrefix="1" applyNumberFormat="1" applyFont="1" applyFill="1" applyBorder="1"/>
    <xf numFmtId="14" fontId="8" fillId="0" borderId="0" xfId="0" applyNumberFormat="1" applyFont="1"/>
    <xf numFmtId="0" fontId="39" fillId="0" borderId="0" xfId="0" applyFont="1"/>
    <xf numFmtId="0" fontId="40" fillId="0" borderId="0" xfId="0" applyFont="1"/>
    <xf numFmtId="0" fontId="7" fillId="0" borderId="0" xfId="0" applyFont="1" applyAlignment="1">
      <alignment horizontal="center"/>
    </xf>
    <xf numFmtId="0" fontId="24" fillId="7" borderId="1" xfId="0" quotePrefix="1" applyFont="1" applyFill="1" applyBorder="1" applyAlignment="1">
      <alignment horizontal="center"/>
    </xf>
    <xf numFmtId="0" fontId="24" fillId="7" borderId="12" xfId="0" quotePrefix="1" applyFont="1" applyFill="1" applyBorder="1" applyAlignment="1">
      <alignment horizontal="center"/>
    </xf>
    <xf numFmtId="0" fontId="24" fillId="7" borderId="5" xfId="0" applyFont="1" applyFill="1" applyBorder="1" applyAlignment="1">
      <alignment horizontal="center"/>
    </xf>
    <xf numFmtId="0" fontId="15" fillId="7" borderId="5" xfId="0" applyFont="1" applyFill="1" applyBorder="1" applyAlignment="1">
      <alignment horizontal="center"/>
    </xf>
    <xf numFmtId="166" fontId="2" fillId="12" borderId="5" xfId="0" quotePrefix="1" applyNumberFormat="1" applyFont="1" applyFill="1" applyBorder="1" applyAlignment="1">
      <alignment horizontal="right"/>
    </xf>
    <xf numFmtId="9" fontId="2" fillId="12" borderId="5" xfId="0" quotePrefix="1" applyNumberFormat="1" applyFont="1" applyFill="1" applyBorder="1"/>
    <xf numFmtId="166" fontId="2" fillId="12" borderId="5" xfId="0" quotePrefix="1" applyNumberFormat="1" applyFont="1" applyFill="1" applyBorder="1"/>
    <xf numFmtId="166" fontId="2" fillId="0" borderId="5" xfId="0" quotePrefix="1" applyNumberFormat="1" applyFont="1" applyBorder="1" applyAlignment="1">
      <alignment horizontal="right"/>
    </xf>
    <xf numFmtId="3" fontId="2" fillId="12" borderId="5" xfId="0" quotePrefix="1" applyNumberFormat="1" applyFont="1" applyFill="1" applyBorder="1" applyAlignment="1">
      <alignment horizontal="right"/>
    </xf>
    <xf numFmtId="3" fontId="2" fillId="0" borderId="5" xfId="0" quotePrefix="1" applyNumberFormat="1" applyFont="1" applyBorder="1" applyAlignment="1">
      <alignment horizontal="right"/>
    </xf>
    <xf numFmtId="166" fontId="2" fillId="0" borderId="0" xfId="0" quotePrefix="1" applyNumberFormat="1" applyFont="1"/>
    <xf numFmtId="166" fontId="2" fillId="0" borderId="0" xfId="0" quotePrefix="1" applyNumberFormat="1" applyFont="1" applyAlignment="1">
      <alignment horizontal="right"/>
    </xf>
    <xf numFmtId="0" fontId="31" fillId="0" borderId="0" xfId="0" applyFont="1"/>
    <xf numFmtId="0" fontId="15" fillId="8" borderId="1" xfId="0" quotePrefix="1" applyFont="1" applyFill="1" applyBorder="1" applyAlignment="1">
      <alignment horizontal="center"/>
    </xf>
    <xf numFmtId="0" fontId="15" fillId="8" borderId="2" xfId="0" applyFont="1" applyFill="1" applyBorder="1" applyAlignment="1">
      <alignment horizontal="center"/>
    </xf>
    <xf numFmtId="49" fontId="2" fillId="12" borderId="4" xfId="0" applyNumberFormat="1" applyFont="1" applyFill="1" applyBorder="1"/>
    <xf numFmtId="165" fontId="2" fillId="0" borderId="0" xfId="0" quotePrefix="1" applyNumberFormat="1" applyFont="1" applyAlignment="1">
      <alignment horizontal="right"/>
    </xf>
    <xf numFmtId="0" fontId="7" fillId="12" borderId="4" xfId="0" applyFont="1" applyFill="1" applyBorder="1"/>
    <xf numFmtId="0" fontId="2" fillId="12" borderId="4" xfId="0" quotePrefix="1" applyFont="1" applyFill="1" applyBorder="1"/>
    <xf numFmtId="0" fontId="24" fillId="8" borderId="67" xfId="0" applyFont="1" applyFill="1" applyBorder="1"/>
    <xf numFmtId="0" fontId="2" fillId="12" borderId="2" xfId="0" quotePrefix="1" applyFont="1" applyFill="1" applyBorder="1" applyAlignment="1">
      <alignment vertical="top"/>
    </xf>
    <xf numFmtId="0" fontId="2" fillId="12" borderId="2" xfId="0" applyFont="1" applyFill="1" applyBorder="1" applyAlignment="1">
      <alignment vertical="top"/>
    </xf>
    <xf numFmtId="165" fontId="5" fillId="0" borderId="0" xfId="0" applyNumberFormat="1" applyFont="1"/>
    <xf numFmtId="0" fontId="15" fillId="15" borderId="1" xfId="0" quotePrefix="1" applyFont="1" applyFill="1" applyBorder="1" applyAlignment="1">
      <alignment horizontal="center"/>
    </xf>
    <xf numFmtId="5" fontId="2" fillId="0" borderId="5" xfId="0" quotePrefix="1" applyNumberFormat="1" applyFont="1" applyBorder="1" applyAlignment="1">
      <alignment horizontal="right"/>
    </xf>
    <xf numFmtId="0" fontId="2" fillId="0" borderId="11" xfId="0" applyFont="1" applyBorder="1"/>
    <xf numFmtId="0" fontId="2" fillId="0" borderId="10" xfId="0" applyFont="1" applyBorder="1"/>
    <xf numFmtId="5" fontId="2" fillId="11" borderId="5" xfId="0" quotePrefix="1" applyNumberFormat="1" applyFont="1" applyFill="1" applyBorder="1"/>
    <xf numFmtId="5" fontId="2" fillId="0" borderId="0" xfId="0" applyNumberFormat="1" applyFont="1"/>
    <xf numFmtId="5" fontId="2" fillId="0" borderId="0" xfId="0" quotePrefix="1" applyNumberFormat="1" applyFont="1" applyAlignment="1">
      <alignment horizontal="right"/>
    </xf>
    <xf numFmtId="14" fontId="40" fillId="0" borderId="0" xfId="0" applyNumberFormat="1" applyFont="1"/>
    <xf numFmtId="14" fontId="7" fillId="0" borderId="0" xfId="0" applyNumberFormat="1" applyFont="1"/>
    <xf numFmtId="0" fontId="41" fillId="0" borderId="0" xfId="0" applyFont="1"/>
    <xf numFmtId="0" fontId="2" fillId="0" borderId="0" xfId="2" applyFont="1" applyAlignment="1">
      <alignment horizontal="right"/>
    </xf>
    <xf numFmtId="0" fontId="2" fillId="0" borderId="0" xfId="2" applyFont="1"/>
    <xf numFmtId="168" fontId="2" fillId="0" borderId="0" xfId="0" applyNumberFormat="1" applyFont="1"/>
    <xf numFmtId="166" fontId="2" fillId="0" borderId="0" xfId="0" applyNumberFormat="1" applyFont="1"/>
    <xf numFmtId="0" fontId="14" fillId="0" borderId="0" xfId="0" applyFont="1" applyAlignment="1">
      <alignment horizontal="right"/>
    </xf>
    <xf numFmtId="0" fontId="42" fillId="0" borderId="0" xfId="0" applyFont="1" applyAlignment="1">
      <alignment horizontal="centerContinuous"/>
    </xf>
    <xf numFmtId="0" fontId="24" fillId="9" borderId="1" xfId="0" applyFont="1" applyFill="1" applyBorder="1" applyAlignment="1">
      <alignment horizontal="centerContinuous"/>
    </xf>
    <xf numFmtId="0" fontId="24" fillId="9" borderId="3" xfId="0" applyFont="1" applyFill="1" applyBorder="1" applyAlignment="1">
      <alignment horizontal="center" vertical="center"/>
    </xf>
    <xf numFmtId="164" fontId="2" fillId="11" borderId="5" xfId="0" applyNumberFormat="1" applyFont="1" applyFill="1" applyBorder="1" applyAlignment="1">
      <alignment vertical="center"/>
    </xf>
    <xf numFmtId="164" fontId="2" fillId="0" borderId="4" xfId="0" applyNumberFormat="1" applyFont="1" applyBorder="1" applyAlignment="1">
      <alignment vertical="center"/>
    </xf>
    <xf numFmtId="164" fontId="2" fillId="11" borderId="4" xfId="0" applyNumberFormat="1" applyFont="1" applyFill="1" applyBorder="1" applyAlignment="1">
      <alignment vertical="center"/>
    </xf>
    <xf numFmtId="164" fontId="2" fillId="0" borderId="7" xfId="0" applyNumberFormat="1" applyFont="1" applyBorder="1" applyAlignment="1">
      <alignment vertical="center"/>
    </xf>
    <xf numFmtId="0" fontId="24" fillId="9" borderId="5" xfId="0" applyFont="1" applyFill="1" applyBorder="1" applyAlignment="1">
      <alignment vertical="top"/>
    </xf>
    <xf numFmtId="164" fontId="24" fillId="9" borderId="5" xfId="0" applyNumberFormat="1" applyFont="1" applyFill="1" applyBorder="1" applyAlignment="1">
      <alignment vertical="top"/>
    </xf>
    <xf numFmtId="164" fontId="2" fillId="0" borderId="0" xfId="0" applyNumberFormat="1" applyFont="1" applyAlignment="1">
      <alignment horizontal="right"/>
    </xf>
    <xf numFmtId="0" fontId="2" fillId="0" borderId="0" xfId="0" applyFont="1" applyAlignment="1">
      <alignment vertical="top" wrapText="1"/>
    </xf>
    <xf numFmtId="0" fontId="43" fillId="0" borderId="0" xfId="0" applyFont="1" applyAlignment="1">
      <alignment horizontal="centerContinuous"/>
    </xf>
    <xf numFmtId="0" fontId="24" fillId="9" borderId="4" xfId="0" applyFont="1" applyFill="1" applyBorder="1" applyAlignment="1">
      <alignment vertical="top"/>
    </xf>
    <xf numFmtId="166" fontId="2" fillId="0" borderId="4" xfId="0" applyNumberFormat="1" applyFont="1" applyBorder="1" applyAlignment="1">
      <alignment horizontal="right"/>
    </xf>
    <xf numFmtId="164" fontId="20" fillId="0" borderId="0" xfId="0" applyNumberFormat="1" applyFont="1" applyAlignment="1">
      <alignment horizontal="right"/>
    </xf>
    <xf numFmtId="0" fontId="31" fillId="0" borderId="0" xfId="0" applyFont="1" applyAlignment="1">
      <alignment wrapText="1"/>
    </xf>
    <xf numFmtId="0" fontId="24" fillId="7" borderId="1" xfId="0" applyFont="1" applyFill="1" applyBorder="1" applyAlignment="1">
      <alignment horizontal="center"/>
    </xf>
    <xf numFmtId="166" fontId="2" fillId="12" borderId="5" xfId="0" applyNumberFormat="1" applyFont="1" applyFill="1" applyBorder="1" applyAlignment="1">
      <alignment horizontal="right"/>
    </xf>
    <xf numFmtId="9" fontId="2" fillId="12" borderId="5" xfId="0" applyNumberFormat="1" applyFont="1" applyFill="1" applyBorder="1"/>
    <xf numFmtId="166" fontId="2" fillId="12" borderId="5" xfId="0" applyNumberFormat="1" applyFont="1" applyFill="1" applyBorder="1"/>
    <xf numFmtId="3" fontId="2" fillId="0" borderId="5" xfId="0" applyNumberFormat="1" applyFont="1" applyBorder="1" applyAlignment="1">
      <alignment horizontal="right"/>
    </xf>
    <xf numFmtId="9" fontId="2" fillId="0" borderId="5" xfId="0" applyNumberFormat="1" applyFont="1" applyBorder="1"/>
    <xf numFmtId="3" fontId="2" fillId="12" borderId="5" xfId="0" applyNumberFormat="1" applyFont="1" applyFill="1" applyBorder="1" applyAlignment="1">
      <alignment horizontal="right"/>
    </xf>
    <xf numFmtId="3" fontId="2" fillId="0" borderId="0" xfId="0" applyNumberFormat="1" applyFont="1" applyAlignment="1">
      <alignment horizontal="right"/>
    </xf>
    <xf numFmtId="0" fontId="20" fillId="0" borderId="10" xfId="0" applyFont="1" applyBorder="1"/>
    <xf numFmtId="0" fontId="20" fillId="0" borderId="8" xfId="0" applyFont="1" applyBorder="1"/>
    <xf numFmtId="0" fontId="24" fillId="13" borderId="4" xfId="0" applyFont="1" applyFill="1" applyBorder="1" applyAlignment="1">
      <alignment horizontal="center"/>
    </xf>
    <xf numFmtId="0" fontId="20" fillId="0" borderId="0" xfId="0" applyFont="1" applyAlignment="1">
      <alignment horizontal="right"/>
    </xf>
    <xf numFmtId="0" fontId="20" fillId="14" borderId="4" xfId="0" applyFont="1" applyFill="1" applyBorder="1"/>
    <xf numFmtId="166" fontId="20" fillId="14" borderId="4" xfId="0" applyNumberFormat="1" applyFont="1" applyFill="1" applyBorder="1"/>
    <xf numFmtId="164" fontId="20" fillId="14" borderId="4" xfId="0" applyNumberFormat="1" applyFont="1" applyFill="1" applyBorder="1"/>
    <xf numFmtId="0" fontId="20" fillId="0" borderId="4" xfId="0" applyFont="1" applyBorder="1"/>
    <xf numFmtId="166" fontId="20" fillId="0" borderId="4" xfId="0" applyNumberFormat="1" applyFont="1" applyBorder="1"/>
    <xf numFmtId="164" fontId="20" fillId="0" borderId="4" xfId="0" applyNumberFormat="1" applyFont="1" applyBorder="1"/>
    <xf numFmtId="0" fontId="44" fillId="0" borderId="0" xfId="0" applyFont="1" applyAlignment="1">
      <alignment horizontal="right" vertical="top"/>
    </xf>
    <xf numFmtId="0" fontId="44" fillId="0" borderId="0" xfId="0" applyFont="1" applyAlignment="1">
      <alignment horizontal="right"/>
    </xf>
    <xf numFmtId="0" fontId="20" fillId="0" borderId="0" xfId="0" applyFont="1" applyAlignment="1">
      <alignment vertical="top"/>
    </xf>
    <xf numFmtId="0" fontId="45" fillId="0" borderId="0" xfId="0" applyFont="1" applyAlignment="1">
      <alignment horizontal="right"/>
    </xf>
    <xf numFmtId="0" fontId="43" fillId="0" borderId="0" xfId="0" applyFont="1"/>
    <xf numFmtId="0" fontId="24" fillId="9" borderId="2" xfId="0" applyFont="1" applyFill="1" applyBorder="1" applyAlignment="1">
      <alignment horizontal="centerContinuous"/>
    </xf>
    <xf numFmtId="3" fontId="24" fillId="9" borderId="5" xfId="0" applyNumberFormat="1" applyFont="1" applyFill="1" applyBorder="1" applyAlignment="1">
      <alignment vertical="top"/>
    </xf>
    <xf numFmtId="0" fontId="14" fillId="0" borderId="1" xfId="0" applyFont="1" applyBorder="1" applyAlignment="1">
      <alignment horizontal="center"/>
    </xf>
    <xf numFmtId="0" fontId="14" fillId="0" borderId="3" xfId="0" applyFont="1" applyBorder="1" applyAlignment="1">
      <alignment horizontal="center"/>
    </xf>
    <xf numFmtId="3" fontId="14" fillId="0" borderId="5" xfId="0" applyNumberFormat="1" applyFont="1" applyBorder="1"/>
    <xf numFmtId="3" fontId="14" fillId="0" borderId="4" xfId="0" applyNumberFormat="1" applyFont="1" applyBorder="1"/>
    <xf numFmtId="3" fontId="14" fillId="0" borderId="7" xfId="0" applyNumberFormat="1" applyFont="1" applyBorder="1"/>
    <xf numFmtId="3" fontId="14" fillId="0" borderId="21" xfId="0" applyNumberFormat="1" applyFont="1" applyBorder="1"/>
    <xf numFmtId="166" fontId="14" fillId="0" borderId="5" xfId="0" applyNumberFormat="1" applyFont="1" applyBorder="1"/>
    <xf numFmtId="165" fontId="2" fillId="12" borderId="4" xfId="0" quotePrefix="1" applyNumberFormat="1" applyFont="1" applyFill="1" applyBorder="1" applyAlignment="1">
      <alignment horizontal="right"/>
    </xf>
    <xf numFmtId="165" fontId="2" fillId="0" borderId="4" xfId="0" quotePrefix="1" applyNumberFormat="1" applyFont="1" applyBorder="1" applyAlignment="1">
      <alignment horizontal="right"/>
    </xf>
    <xf numFmtId="165" fontId="2" fillId="0" borderId="1" xfId="0" quotePrefix="1" applyNumberFormat="1" applyFont="1" applyBorder="1" applyAlignment="1">
      <alignment horizontal="right"/>
    </xf>
    <xf numFmtId="165" fontId="24" fillId="8" borderId="40" xfId="0" quotePrefix="1" applyNumberFormat="1" applyFont="1" applyFill="1" applyBorder="1" applyAlignment="1">
      <alignment horizontal="right"/>
    </xf>
    <xf numFmtId="165" fontId="2" fillId="12" borderId="2" xfId="0" quotePrefix="1" applyNumberFormat="1" applyFont="1" applyFill="1" applyBorder="1" applyAlignment="1">
      <alignment horizontal="right" vertical="top"/>
    </xf>
    <xf numFmtId="170" fontId="2" fillId="0" borderId="0" xfId="0" applyNumberFormat="1" applyFont="1"/>
    <xf numFmtId="166" fontId="2" fillId="2" borderId="4" xfId="8" applyNumberFormat="1" applyFill="1" applyBorder="1" applyAlignment="1">
      <alignment horizontal="center"/>
    </xf>
    <xf numFmtId="0" fontId="14" fillId="0" borderId="0" xfId="0" applyFont="1" applyAlignment="1">
      <alignment vertical="center"/>
    </xf>
    <xf numFmtId="3" fontId="2" fillId="0" borderId="0" xfId="0" applyNumberFormat="1" applyFont="1" applyAlignment="1">
      <alignment vertical="center"/>
    </xf>
    <xf numFmtId="0" fontId="0" fillId="0" borderId="0" xfId="0" applyAlignment="1">
      <alignment horizontal="centerContinuous"/>
    </xf>
    <xf numFmtId="0" fontId="54" fillId="0" borderId="0" xfId="0" applyFont="1" applyAlignment="1">
      <alignment vertical="center"/>
    </xf>
    <xf numFmtId="0" fontId="53" fillId="0" borderId="0" xfId="0" applyFont="1"/>
    <xf numFmtId="0" fontId="1" fillId="0" borderId="0" xfId="0" applyFont="1"/>
    <xf numFmtId="0" fontId="55" fillId="0" borderId="0" xfId="0" applyFont="1"/>
    <xf numFmtId="0" fontId="56" fillId="0" borderId="0" xfId="0" applyFont="1"/>
    <xf numFmtId="0" fontId="57" fillId="0" borderId="0" xfId="0" applyFont="1" applyAlignment="1">
      <alignment horizontal="left" indent="1"/>
    </xf>
    <xf numFmtId="0" fontId="26" fillId="0" borderId="0" xfId="0" applyFont="1" applyAlignment="1">
      <alignment vertical="top" wrapText="1"/>
    </xf>
    <xf numFmtId="166" fontId="0" fillId="0" borderId="0" xfId="0" applyNumberFormat="1" applyAlignment="1">
      <alignment horizontal="right"/>
    </xf>
    <xf numFmtId="0" fontId="24" fillId="0" borderId="13" xfId="0" quotePrefix="1" applyFont="1" applyBorder="1" applyAlignment="1">
      <alignment horizontal="center"/>
    </xf>
    <xf numFmtId="0" fontId="15" fillId="0" borderId="13" xfId="0" applyFont="1" applyBorder="1" applyAlignment="1">
      <alignment horizontal="center"/>
    </xf>
    <xf numFmtId="0" fontId="24" fillId="0" borderId="13" xfId="0" quotePrefix="1" applyFont="1" applyBorder="1"/>
    <xf numFmtId="0" fontId="24" fillId="0" borderId="13" xfId="0" applyFont="1" applyBorder="1"/>
    <xf numFmtId="0" fontId="66" fillId="0" borderId="0" xfId="0" applyFont="1" applyAlignment="1">
      <alignment horizontal="left" wrapText="1"/>
    </xf>
    <xf numFmtId="0" fontId="66" fillId="0" borderId="0" xfId="0" applyFont="1" applyAlignment="1">
      <alignment horizontal="left" wrapText="1" indent="3"/>
    </xf>
    <xf numFmtId="0" fontId="66" fillId="0" borderId="0" xfId="0" applyFont="1" applyAlignment="1">
      <alignment wrapText="1"/>
    </xf>
    <xf numFmtId="0" fontId="67" fillId="0" borderId="0" xfId="0" applyFont="1"/>
    <xf numFmtId="0" fontId="15" fillId="8" borderId="48" xfId="3" quotePrefix="1" applyFont="1" applyFill="1" applyBorder="1" applyAlignment="1">
      <alignment horizontal="center"/>
    </xf>
    <xf numFmtId="0" fontId="15" fillId="8" borderId="48" xfId="3" applyFont="1" applyFill="1" applyBorder="1" applyAlignment="1">
      <alignment horizontal="center"/>
    </xf>
    <xf numFmtId="0" fontId="2" fillId="16" borderId="5" xfId="3" applyFont="1" applyFill="1" applyBorder="1" applyAlignment="1">
      <alignment vertical="center" wrapText="1"/>
    </xf>
    <xf numFmtId="0" fontId="2" fillId="0" borderId="4" xfId="3" applyFont="1" applyBorder="1" applyAlignment="1">
      <alignment vertical="center" wrapText="1"/>
    </xf>
    <xf numFmtId="0" fontId="2" fillId="16" borderId="4" xfId="3" applyFont="1" applyFill="1" applyBorder="1" applyAlignment="1">
      <alignment vertical="center" wrapText="1"/>
    </xf>
    <xf numFmtId="0" fontId="2" fillId="0" borderId="16" xfId="3" applyFont="1" applyBorder="1" applyAlignment="1">
      <alignment vertical="center" wrapText="1"/>
    </xf>
    <xf numFmtId="0" fontId="2" fillId="16" borderId="16" xfId="3" applyFont="1" applyFill="1" applyBorder="1" applyAlignment="1">
      <alignment vertical="center" wrapText="1"/>
    </xf>
    <xf numFmtId="0" fontId="2" fillId="0" borderId="16" xfId="3" quotePrefix="1" applyFont="1" applyBorder="1" applyAlignment="1">
      <alignment vertical="center" wrapText="1"/>
    </xf>
    <xf numFmtId="0" fontId="2" fillId="16" borderId="4" xfId="3" quotePrefix="1" applyFont="1" applyFill="1" applyBorder="1" applyAlignment="1">
      <alignment vertical="center" wrapText="1"/>
    </xf>
    <xf numFmtId="0" fontId="15" fillId="8" borderId="16" xfId="4" applyFont="1" applyFill="1" applyBorder="1" applyAlignment="1">
      <alignment vertical="center" wrapText="1"/>
    </xf>
    <xf numFmtId="0" fontId="2" fillId="0" borderId="44" xfId="4" applyBorder="1" applyAlignment="1">
      <alignment vertical="center" wrapText="1"/>
    </xf>
    <xf numFmtId="0" fontId="15" fillId="8" borderId="15" xfId="4" applyFont="1" applyFill="1" applyBorder="1" applyAlignment="1">
      <alignment vertical="center" wrapText="1"/>
    </xf>
    <xf numFmtId="0" fontId="15" fillId="0" borderId="0" xfId="3" quotePrefix="1" applyFont="1" applyAlignment="1">
      <alignment horizontal="center"/>
    </xf>
    <xf numFmtId="164" fontId="2" fillId="16" borderId="4" xfId="3" quotePrefix="1" applyNumberFormat="1" applyFont="1" applyFill="1" applyBorder="1" applyAlignment="1">
      <alignment vertical="center" wrapText="1"/>
    </xf>
    <xf numFmtId="164" fontId="2" fillId="16" borderId="4" xfId="3" quotePrefix="1" applyNumberFormat="1" applyFont="1" applyFill="1" applyBorder="1" applyAlignment="1">
      <alignment horizontal="right" vertical="center" wrapText="1"/>
    </xf>
    <xf numFmtId="164" fontId="2" fillId="16" borderId="5" xfId="3" quotePrefix="1" applyNumberFormat="1" applyFont="1" applyFill="1" applyBorder="1" applyAlignment="1">
      <alignment vertical="center" wrapText="1"/>
    </xf>
    <xf numFmtId="164" fontId="2" fillId="0" borderId="4" xfId="3" quotePrefix="1" applyNumberFormat="1" applyFont="1" applyBorder="1" applyAlignment="1">
      <alignment vertical="center" wrapText="1"/>
    </xf>
    <xf numFmtId="164" fontId="2" fillId="0" borderId="4" xfId="3" applyNumberFormat="1" applyFont="1" applyBorder="1" applyAlignment="1">
      <alignment vertical="center" wrapText="1"/>
    </xf>
    <xf numFmtId="164" fontId="2" fillId="0" borderId="6" xfId="3" quotePrefix="1" applyNumberFormat="1" applyFont="1" applyBorder="1" applyAlignment="1">
      <alignment vertical="center" wrapText="1"/>
    </xf>
    <xf numFmtId="164" fontId="2" fillId="16" borderId="6" xfId="3" quotePrefix="1" applyNumberFormat="1" applyFont="1" applyFill="1" applyBorder="1" applyAlignment="1">
      <alignment vertical="center" wrapText="1"/>
    </xf>
    <xf numFmtId="164" fontId="2" fillId="0" borderId="4" xfId="3" quotePrefix="1" applyNumberFormat="1" applyFont="1" applyBorder="1" applyAlignment="1">
      <alignment horizontal="right" vertical="center" wrapText="1"/>
    </xf>
    <xf numFmtId="164" fontId="2" fillId="16" borderId="4" xfId="4" quotePrefix="1" applyNumberFormat="1" applyFill="1" applyBorder="1" applyAlignment="1">
      <alignment vertical="center" wrapText="1"/>
    </xf>
    <xf numFmtId="164" fontId="6" fillId="0" borderId="4" xfId="3" applyNumberFormat="1" applyFont="1" applyBorder="1" applyAlignment="1">
      <alignment vertical="center" wrapText="1"/>
    </xf>
    <xf numFmtId="164" fontId="2" fillId="0" borderId="4" xfId="4" quotePrefix="1" applyNumberFormat="1" applyBorder="1" applyAlignment="1">
      <alignment vertical="center" wrapText="1"/>
    </xf>
    <xf numFmtId="164" fontId="2" fillId="16" borderId="4" xfId="3" applyNumberFormat="1" applyFont="1" applyFill="1" applyBorder="1" applyAlignment="1">
      <alignment vertical="center" wrapText="1"/>
    </xf>
    <xf numFmtId="164" fontId="2" fillId="0" borderId="4" xfId="4" applyNumberFormat="1" applyBorder="1" applyAlignment="1">
      <alignment vertical="center" wrapText="1"/>
    </xf>
    <xf numFmtId="164" fontId="8" fillId="16" borderId="4" xfId="3" applyNumberFormat="1" applyFont="1" applyFill="1" applyBorder="1" applyAlignment="1">
      <alignment vertical="center" wrapText="1"/>
    </xf>
    <xf numFmtId="164" fontId="2" fillId="16" borderId="15" xfId="3" quotePrefix="1" applyNumberFormat="1" applyFont="1" applyFill="1" applyBorder="1" applyAlignment="1">
      <alignment vertical="center" wrapText="1"/>
    </xf>
    <xf numFmtId="164" fontId="2" fillId="16" borderId="0" xfId="4" quotePrefix="1" applyNumberFormat="1" applyFill="1" applyAlignment="1">
      <alignment vertical="center" wrapText="1"/>
    </xf>
    <xf numFmtId="164" fontId="15" fillId="8" borderId="46" xfId="3" quotePrefix="1" applyNumberFormat="1" applyFont="1" applyFill="1" applyBorder="1" applyAlignment="1">
      <alignment vertical="center" wrapText="1"/>
    </xf>
    <xf numFmtId="164" fontId="15" fillId="8" borderId="71" xfId="3" quotePrefix="1" applyNumberFormat="1" applyFont="1" applyFill="1" applyBorder="1" applyAlignment="1">
      <alignment vertical="center" wrapText="1"/>
    </xf>
    <xf numFmtId="164" fontId="2" fillId="0" borderId="61" xfId="4" quotePrefix="1" applyNumberFormat="1" applyBorder="1" applyAlignment="1">
      <alignment vertical="center" wrapText="1"/>
    </xf>
    <xf numFmtId="0" fontId="2" fillId="0" borderId="14" xfId="3" applyFont="1" applyBorder="1" applyAlignment="1">
      <alignment vertical="center" wrapText="1"/>
    </xf>
    <xf numFmtId="0" fontId="2" fillId="0" borderId="13" xfId="3" applyFont="1" applyBorder="1" applyAlignment="1">
      <alignment vertical="center" wrapText="1"/>
    </xf>
    <xf numFmtId="0" fontId="2" fillId="0" borderId="13" xfId="4" applyBorder="1" applyAlignment="1">
      <alignment vertical="center" wrapText="1"/>
    </xf>
    <xf numFmtId="164" fontId="15" fillId="8" borderId="68" xfId="4" quotePrefix="1" applyNumberFormat="1" applyFont="1" applyFill="1" applyBorder="1" applyAlignment="1">
      <alignment vertical="center" wrapText="1"/>
    </xf>
    <xf numFmtId="0" fontId="2" fillId="0" borderId="11" xfId="3" applyFont="1" applyBorder="1" applyAlignment="1">
      <alignment vertical="center" wrapText="1"/>
    </xf>
    <xf numFmtId="0" fontId="2" fillId="0" borderId="0" xfId="3" applyFont="1" applyAlignment="1">
      <alignment vertical="center" wrapText="1"/>
    </xf>
    <xf numFmtId="0" fontId="15" fillId="0" borderId="0" xfId="4" applyFont="1" applyAlignment="1">
      <alignment vertical="center" wrapText="1"/>
    </xf>
    <xf numFmtId="0" fontId="24" fillId="13" borderId="4" xfId="0" applyFont="1" applyFill="1" applyBorder="1" applyAlignment="1">
      <alignment horizontal="center" wrapText="1"/>
    </xf>
    <xf numFmtId="0" fontId="68" fillId="0" borderId="95" xfId="8" applyFont="1" applyBorder="1"/>
    <xf numFmtId="0" fontId="69" fillId="0" borderId="95" xfId="8" applyFont="1" applyBorder="1"/>
    <xf numFmtId="0" fontId="69" fillId="0" borderId="96" xfId="8" applyFont="1" applyBorder="1" applyAlignment="1">
      <alignment horizontal="right" vertical="center"/>
    </xf>
    <xf numFmtId="0" fontId="69" fillId="0" borderId="97" xfId="8" applyFont="1" applyBorder="1" applyAlignment="1">
      <alignment horizontal="right" vertical="center"/>
    </xf>
    <xf numFmtId="0" fontId="68" fillId="0" borderId="0" xfId="8" applyFont="1"/>
    <xf numFmtId="0" fontId="69" fillId="0" borderId="0" xfId="8" applyFont="1"/>
    <xf numFmtId="0" fontId="20" fillId="14" borderId="4" xfId="0" applyFont="1" applyFill="1" applyBorder="1" applyAlignment="1">
      <alignment vertical="center" wrapText="1"/>
    </xf>
    <xf numFmtId="0" fontId="20" fillId="0" borderId="4" xfId="0" applyFont="1" applyBorder="1" applyAlignment="1">
      <alignment vertical="center" wrapText="1"/>
    </xf>
    <xf numFmtId="166" fontId="20" fillId="14" borderId="4" xfId="0" applyNumberFormat="1" applyFont="1" applyFill="1" applyBorder="1" applyAlignment="1">
      <alignment vertical="center"/>
    </xf>
    <xf numFmtId="164" fontId="20" fillId="14" borderId="4" xfId="0" applyNumberFormat="1" applyFont="1" applyFill="1" applyBorder="1" applyAlignment="1">
      <alignment vertical="center"/>
    </xf>
    <xf numFmtId="166" fontId="20" fillId="0" borderId="4" xfId="0" applyNumberFormat="1" applyFont="1" applyBorder="1" applyAlignment="1">
      <alignment vertical="center"/>
    </xf>
    <xf numFmtId="164" fontId="20" fillId="0" borderId="4" xfId="0" applyNumberFormat="1" applyFont="1" applyBorder="1" applyAlignment="1">
      <alignment vertical="center"/>
    </xf>
    <xf numFmtId="166" fontId="2" fillId="2" borderId="4" xfId="8" applyNumberFormat="1" applyFill="1" applyBorder="1" applyAlignment="1">
      <alignment horizontal="center" vertical="center"/>
    </xf>
    <xf numFmtId="0" fontId="69" fillId="0" borderId="95" xfId="8" applyFont="1" applyBorder="1" applyAlignment="1">
      <alignment horizontal="right" vertical="center"/>
    </xf>
    <xf numFmtId="0" fontId="20" fillId="0" borderId="0" xfId="0" applyFont="1" applyAlignment="1">
      <alignment wrapText="1"/>
    </xf>
    <xf numFmtId="0" fontId="20" fillId="0" borderId="0" xfId="0" applyFont="1" applyAlignment="1">
      <alignment horizontal="right" wrapText="1"/>
    </xf>
    <xf numFmtId="0" fontId="62" fillId="0" borderId="0" xfId="0" applyFont="1" applyAlignment="1">
      <alignment horizontal="left" indent="1"/>
    </xf>
    <xf numFmtId="0" fontId="20" fillId="0" borderId="0" xfId="0" applyFont="1" applyAlignment="1">
      <alignment horizontal="right" vertical="top"/>
    </xf>
    <xf numFmtId="164" fontId="15" fillId="0" borderId="0" xfId="4" quotePrefix="1" applyNumberFormat="1" applyFont="1" applyAlignment="1">
      <alignment vertical="center" wrapText="1"/>
    </xf>
    <xf numFmtId="0" fontId="77" fillId="0" borderId="0" xfId="0" applyFont="1" applyAlignment="1">
      <alignment horizontal="center" vertical="top"/>
    </xf>
    <xf numFmtId="0" fontId="1" fillId="0" borderId="0" xfId="0" applyFont="1" applyAlignment="1">
      <alignment vertical="top"/>
    </xf>
    <xf numFmtId="0" fontId="0" fillId="0" borderId="0" xfId="0" applyAlignment="1">
      <alignment vertical="top"/>
    </xf>
    <xf numFmtId="0" fontId="72" fillId="0" borderId="0" xfId="0" applyFont="1" applyAlignment="1">
      <alignment horizontal="left" vertical="center" indent="9"/>
    </xf>
    <xf numFmtId="0" fontId="74" fillId="0" borderId="0" xfId="10" applyFont="1" applyFill="1" applyAlignment="1"/>
    <xf numFmtId="0" fontId="72" fillId="0" borderId="0" xfId="0" applyFont="1" applyAlignment="1">
      <alignment vertical="center"/>
    </xf>
    <xf numFmtId="0" fontId="74" fillId="0" borderId="0" xfId="10" applyFont="1" applyFill="1" applyAlignment="1" applyProtection="1"/>
    <xf numFmtId="0" fontId="76" fillId="0" borderId="0" xfId="0" applyFont="1"/>
    <xf numFmtId="0" fontId="74" fillId="0" borderId="0" xfId="10" applyFont="1" applyFill="1" applyProtection="1"/>
    <xf numFmtId="0" fontId="72" fillId="0" borderId="0" xfId="0" applyFont="1" applyAlignment="1">
      <alignment horizontal="left" vertical="center" indent="7"/>
    </xf>
    <xf numFmtId="0" fontId="20" fillId="0" borderId="0" xfId="0" applyFont="1" applyAlignment="1">
      <alignment horizontal="left" vertical="center"/>
    </xf>
    <xf numFmtId="0" fontId="20" fillId="0" borderId="0" xfId="0" applyFont="1" applyAlignment="1">
      <alignment vertical="center"/>
    </xf>
    <xf numFmtId="0" fontId="20" fillId="0" borderId="0" xfId="0" applyFont="1" applyAlignment="1">
      <alignment horizontal="left" vertical="center" indent="1"/>
    </xf>
    <xf numFmtId="0" fontId="20" fillId="0" borderId="0" xfId="0" applyFont="1" applyAlignment="1">
      <alignment horizontal="left" vertical="center" indent="2"/>
    </xf>
    <xf numFmtId="0" fontId="80" fillId="0" borderId="0" xfId="0" applyFont="1" applyAlignment="1">
      <alignment horizontal="left" vertical="center" indent="9"/>
    </xf>
    <xf numFmtId="0" fontId="81" fillId="0" borderId="0" xfId="0" applyFont="1" applyAlignment="1">
      <alignment horizontal="left" vertical="center" indent="15"/>
    </xf>
    <xf numFmtId="3" fontId="2" fillId="0" borderId="5" xfId="0" quotePrefix="1" applyNumberFormat="1" applyFont="1" applyBorder="1" applyAlignment="1" applyProtection="1">
      <alignment horizontal="right"/>
      <protection locked="0"/>
    </xf>
    <xf numFmtId="166" fontId="2" fillId="0" borderId="5" xfId="0" quotePrefix="1" applyNumberFormat="1" applyFont="1" applyBorder="1" applyAlignment="1" applyProtection="1">
      <alignment horizontal="right"/>
      <protection locked="0"/>
    </xf>
    <xf numFmtId="0" fontId="82" fillId="0" borderId="0" xfId="0" applyFont="1" applyAlignment="1">
      <alignment vertical="center"/>
    </xf>
    <xf numFmtId="0" fontId="82" fillId="0" borderId="0" xfId="0" applyFont="1"/>
    <xf numFmtId="0" fontId="20" fillId="0" borderId="0" xfId="0" applyFont="1" applyAlignment="1">
      <alignment horizontal="left" vertical="center" wrapText="1"/>
    </xf>
    <xf numFmtId="0" fontId="20" fillId="0" borderId="0" xfId="0" applyFont="1" applyAlignment="1">
      <alignment horizontal="left" vertical="center" wrapText="1" indent="12"/>
    </xf>
    <xf numFmtId="0" fontId="20" fillId="0" borderId="0" xfId="0" applyFont="1" applyAlignment="1">
      <alignment horizontal="left" vertical="center" wrapText="1" indent="1"/>
    </xf>
    <xf numFmtId="0" fontId="79" fillId="0" borderId="0" xfId="0" applyFont="1" applyAlignment="1">
      <alignment horizontal="left" vertical="center" wrapText="1"/>
    </xf>
    <xf numFmtId="0" fontId="43" fillId="0" borderId="0" xfId="0" applyFont="1" applyAlignment="1">
      <alignment horizontal="center" vertical="center"/>
    </xf>
    <xf numFmtId="0" fontId="2" fillId="0" borderId="0" xfId="0" applyFont="1" applyAlignment="1">
      <alignment horizontal="left" vertical="center"/>
    </xf>
    <xf numFmtId="0" fontId="46" fillId="0" borderId="0" xfId="0" applyFont="1" applyAlignment="1">
      <alignment horizontal="left" vertical="top" wrapText="1"/>
    </xf>
    <xf numFmtId="0" fontId="26" fillId="0" borderId="0" xfId="0" quotePrefix="1" applyFont="1" applyAlignment="1">
      <alignment horizontal="center" vertical="center"/>
    </xf>
    <xf numFmtId="0" fontId="26" fillId="0" borderId="0" xfId="0" quotePrefix="1" applyFont="1" applyAlignment="1">
      <alignment horizontal="left" vertical="center"/>
    </xf>
    <xf numFmtId="0" fontId="31" fillId="0" borderId="0" xfId="0" applyFont="1" applyAlignment="1">
      <alignment vertical="top" wrapText="1"/>
    </xf>
    <xf numFmtId="164" fontId="2" fillId="0" borderId="16" xfId="0" applyNumberFormat="1" applyFont="1" applyBorder="1" applyAlignment="1">
      <alignment horizontal="right"/>
    </xf>
    <xf numFmtId="164" fontId="2" fillId="0" borderId="6" xfId="0" applyNumberFormat="1" applyFont="1" applyBorder="1" applyAlignment="1">
      <alignment horizontal="right"/>
    </xf>
    <xf numFmtId="164" fontId="2" fillId="18" borderId="16" xfId="0" applyNumberFormat="1" applyFont="1" applyFill="1" applyBorder="1" applyAlignment="1">
      <alignment horizontal="right"/>
    </xf>
    <xf numFmtId="164" fontId="2" fillId="18" borderId="6" xfId="0" applyNumberFormat="1" applyFont="1" applyFill="1" applyBorder="1" applyAlignment="1">
      <alignment horizontal="right"/>
    </xf>
    <xf numFmtId="164" fontId="2" fillId="18" borderId="16" xfId="0" quotePrefix="1" applyNumberFormat="1" applyFont="1" applyFill="1" applyBorder="1" applyAlignment="1">
      <alignment horizontal="right"/>
    </xf>
    <xf numFmtId="164" fontId="15" fillId="6" borderId="35" xfId="0" quotePrefix="1" applyNumberFormat="1" applyFont="1" applyFill="1" applyBorder="1" applyAlignment="1">
      <alignment horizontal="right"/>
    </xf>
    <xf numFmtId="164" fontId="15" fillId="6" borderId="40" xfId="0" applyNumberFormat="1" applyFont="1" applyFill="1" applyBorder="1" applyAlignment="1">
      <alignment horizontal="right"/>
    </xf>
    <xf numFmtId="164" fontId="2" fillId="0" borderId="60" xfId="0" applyNumberFormat="1" applyFont="1" applyBorder="1" applyAlignment="1">
      <alignment horizontal="right"/>
    </xf>
    <xf numFmtId="164" fontId="2" fillId="0" borderId="61" xfId="0" applyNumberFormat="1" applyFont="1" applyBorder="1" applyAlignment="1">
      <alignment horizontal="right"/>
    </xf>
    <xf numFmtId="164" fontId="2" fillId="0" borderId="15" xfId="0" applyNumberFormat="1" applyFont="1" applyBorder="1" applyAlignment="1">
      <alignment horizontal="right"/>
    </xf>
    <xf numFmtId="164" fontId="2" fillId="0" borderId="8" xfId="0" applyNumberFormat="1" applyFont="1" applyBorder="1" applyAlignment="1">
      <alignment horizontal="right"/>
    </xf>
    <xf numFmtId="164" fontId="2" fillId="18" borderId="58" xfId="0" quotePrefix="1" applyNumberFormat="1" applyFont="1" applyFill="1" applyBorder="1" applyAlignment="1">
      <alignment horizontal="right"/>
    </xf>
    <xf numFmtId="164" fontId="2" fillId="18" borderId="59" xfId="0" applyNumberFormat="1" applyFont="1" applyFill="1" applyBorder="1" applyAlignment="1">
      <alignment horizontal="right"/>
    </xf>
    <xf numFmtId="166" fontId="2" fillId="0" borderId="15" xfId="0" quotePrefix="1" applyNumberFormat="1" applyFont="1" applyBorder="1" applyAlignment="1">
      <alignment horizontal="right"/>
    </xf>
    <xf numFmtId="166" fontId="2" fillId="0" borderId="8" xfId="0" applyNumberFormat="1" applyFont="1" applyBorder="1" applyAlignment="1">
      <alignment horizontal="right"/>
    </xf>
    <xf numFmtId="164" fontId="15" fillId="6" borderId="37" xfId="0" quotePrefix="1" applyNumberFormat="1" applyFont="1" applyFill="1" applyBorder="1" applyAlignment="1">
      <alignment horizontal="right"/>
    </xf>
    <xf numFmtId="164" fontId="15" fillId="6" borderId="41" xfId="0" applyNumberFormat="1" applyFont="1" applyFill="1" applyBorder="1" applyAlignment="1">
      <alignment horizontal="right"/>
    </xf>
    <xf numFmtId="164" fontId="2" fillId="0" borderId="14" xfId="0" applyNumberFormat="1" applyFont="1" applyBorder="1" applyAlignment="1">
      <alignment horizontal="right"/>
    </xf>
    <xf numFmtId="164" fontId="2" fillId="0" borderId="12" xfId="0" applyNumberFormat="1" applyFont="1" applyBorder="1" applyAlignment="1">
      <alignment horizontal="right"/>
    </xf>
    <xf numFmtId="164" fontId="2" fillId="0" borderId="16" xfId="0" quotePrefix="1" applyNumberFormat="1" applyFont="1" applyBorder="1" applyAlignment="1">
      <alignment horizontal="right"/>
    </xf>
    <xf numFmtId="164" fontId="2" fillId="4" borderId="16" xfId="0" quotePrefix="1" applyNumberFormat="1" applyFont="1" applyFill="1" applyBorder="1" applyAlignment="1">
      <alignment horizontal="right"/>
    </xf>
    <xf numFmtId="164" fontId="2" fillId="4" borderId="6" xfId="0" applyNumberFormat="1" applyFont="1" applyFill="1" applyBorder="1" applyAlignment="1">
      <alignment horizontal="right"/>
    </xf>
    <xf numFmtId="164" fontId="2" fillId="19" borderId="16" xfId="0" quotePrefix="1" applyNumberFormat="1" applyFont="1" applyFill="1" applyBorder="1" applyAlignment="1">
      <alignment horizontal="right"/>
    </xf>
    <xf numFmtId="164" fontId="2" fillId="19" borderId="6" xfId="0" applyNumberFormat="1" applyFont="1" applyFill="1" applyBorder="1" applyAlignment="1">
      <alignment horizontal="right"/>
    </xf>
    <xf numFmtId="0" fontId="14" fillId="10" borderId="16" xfId="0" applyFont="1" applyFill="1" applyBorder="1" applyAlignment="1">
      <alignment horizontal="right"/>
    </xf>
    <xf numFmtId="0" fontId="14" fillId="10" borderId="51" xfId="0" applyFont="1" applyFill="1" applyBorder="1" applyAlignment="1">
      <alignment horizontal="right"/>
    </xf>
    <xf numFmtId="0" fontId="14" fillId="10" borderId="56" xfId="0" applyFont="1" applyFill="1" applyBorder="1" applyAlignment="1">
      <alignment horizontal="right"/>
    </xf>
    <xf numFmtId="0" fontId="14" fillId="10" borderId="57" xfId="0" applyFont="1" applyFill="1" applyBorder="1" applyAlignment="1">
      <alignment horizontal="right"/>
    </xf>
    <xf numFmtId="0" fontId="14" fillId="10" borderId="54" xfId="0" applyFont="1" applyFill="1" applyBorder="1" applyAlignment="1">
      <alignment horizontal="right"/>
    </xf>
    <xf numFmtId="0" fontId="14" fillId="10" borderId="55" xfId="0" applyFont="1" applyFill="1" applyBorder="1" applyAlignment="1">
      <alignment horizontal="right"/>
    </xf>
    <xf numFmtId="0" fontId="14" fillId="10" borderId="52" xfId="0" applyFont="1" applyFill="1" applyBorder="1" applyAlignment="1">
      <alignment horizontal="right"/>
    </xf>
    <xf numFmtId="0" fontId="14" fillId="10" borderId="53" xfId="0" applyFont="1" applyFill="1" applyBorder="1" applyAlignment="1">
      <alignment horizontal="right"/>
    </xf>
    <xf numFmtId="164" fontId="2" fillId="0" borderId="60" xfId="0" quotePrefix="1" applyNumberFormat="1" applyFont="1" applyBorder="1" applyAlignment="1">
      <alignment horizontal="right"/>
    </xf>
    <xf numFmtId="5" fontId="2" fillId="11" borderId="16" xfId="0" quotePrefix="1" applyNumberFormat="1" applyFont="1" applyFill="1" applyBorder="1" applyAlignment="1">
      <alignment horizontal="right"/>
    </xf>
    <xf numFmtId="5" fontId="2" fillId="11" borderId="6" xfId="0" quotePrefix="1" applyNumberFormat="1" applyFont="1" applyFill="1" applyBorder="1" applyAlignment="1">
      <alignment horizontal="right"/>
    </xf>
    <xf numFmtId="5" fontId="2" fillId="0" borderId="16" xfId="0" quotePrefix="1" applyNumberFormat="1" applyFont="1" applyBorder="1" applyAlignment="1">
      <alignment horizontal="right"/>
    </xf>
    <xf numFmtId="5" fontId="2" fillId="0" borderId="6" xfId="0" quotePrefix="1" applyNumberFormat="1" applyFont="1" applyBorder="1" applyAlignment="1">
      <alignment horizontal="right"/>
    </xf>
    <xf numFmtId="0" fontId="15" fillId="15" borderId="15" xfId="0" applyFont="1" applyFill="1" applyBorder="1" applyAlignment="1">
      <alignment horizontal="center"/>
    </xf>
    <xf numFmtId="0" fontId="15" fillId="15" borderId="8" xfId="0" applyFont="1" applyFill="1" applyBorder="1" applyAlignment="1">
      <alignment horizontal="center"/>
    </xf>
    <xf numFmtId="0" fontId="15" fillId="15" borderId="14" xfId="0" quotePrefix="1" applyFont="1" applyFill="1" applyBorder="1" applyAlignment="1">
      <alignment horizontal="center"/>
    </xf>
    <xf numFmtId="0" fontId="15" fillId="15" borderId="12" xfId="0" quotePrefix="1" applyFont="1" applyFill="1" applyBorder="1" applyAlignment="1">
      <alignment horizontal="center"/>
    </xf>
    <xf numFmtId="0" fontId="15" fillId="8" borderId="14" xfId="0" quotePrefix="1" applyFont="1" applyFill="1" applyBorder="1" applyAlignment="1">
      <alignment horizontal="center"/>
    </xf>
    <xf numFmtId="0" fontId="15" fillId="8" borderId="12" xfId="0" applyFont="1" applyFill="1" applyBorder="1" applyAlignment="1">
      <alignment horizontal="center"/>
    </xf>
    <xf numFmtId="165" fontId="2" fillId="12" borderId="16" xfId="0" quotePrefix="1" applyNumberFormat="1" applyFont="1" applyFill="1" applyBorder="1" applyAlignment="1">
      <alignment horizontal="right"/>
    </xf>
    <xf numFmtId="165" fontId="2" fillId="12" borderId="6" xfId="0" applyNumberFormat="1" applyFont="1" applyFill="1" applyBorder="1" applyAlignment="1">
      <alignment horizontal="right"/>
    </xf>
    <xf numFmtId="0" fontId="15" fillId="8" borderId="11" xfId="0" applyFont="1" applyFill="1" applyBorder="1" applyAlignment="1">
      <alignment horizontal="center"/>
    </xf>
    <xf numFmtId="0" fontId="15" fillId="8" borderId="10" xfId="0" applyFont="1" applyFill="1" applyBorder="1" applyAlignment="1">
      <alignment horizontal="center"/>
    </xf>
    <xf numFmtId="165" fontId="2" fillId="0" borderId="16" xfId="0" quotePrefix="1" applyNumberFormat="1" applyFont="1" applyBorder="1" applyAlignment="1">
      <alignment horizontal="right"/>
    </xf>
    <xf numFmtId="165" fontId="2" fillId="0" borderId="6" xfId="0" applyNumberFormat="1" applyFont="1" applyBorder="1" applyAlignment="1">
      <alignment horizontal="right"/>
    </xf>
    <xf numFmtId="165" fontId="24" fillId="8" borderId="35" xfId="0" quotePrefix="1" applyNumberFormat="1" applyFont="1" applyFill="1" applyBorder="1" applyAlignment="1">
      <alignment horizontal="right"/>
    </xf>
    <xf numFmtId="165" fontId="24" fillId="8" borderId="40" xfId="0" applyNumberFormat="1" applyFont="1" applyFill="1" applyBorder="1" applyAlignment="1">
      <alignment horizontal="right"/>
    </xf>
    <xf numFmtId="165" fontId="2" fillId="12" borderId="42" xfId="0" quotePrefix="1" applyNumberFormat="1" applyFont="1" applyFill="1" applyBorder="1" applyAlignment="1">
      <alignment horizontal="right" vertical="top"/>
    </xf>
    <xf numFmtId="165" fontId="2" fillId="12" borderId="43" xfId="0" applyNumberFormat="1" applyFont="1" applyFill="1" applyBorder="1" applyAlignment="1">
      <alignment horizontal="right" vertical="top"/>
    </xf>
    <xf numFmtId="164" fontId="2" fillId="14" borderId="16" xfId="0" quotePrefix="1" applyNumberFormat="1" applyFont="1" applyFill="1" applyBorder="1" applyAlignment="1">
      <alignment horizontal="right"/>
    </xf>
    <xf numFmtId="164" fontId="2" fillId="14" borderId="6" xfId="0" applyNumberFormat="1" applyFont="1" applyFill="1" applyBorder="1" applyAlignment="1">
      <alignment horizontal="right"/>
    </xf>
    <xf numFmtId="164" fontId="2" fillId="13" borderId="15" xfId="0" quotePrefix="1" applyNumberFormat="1" applyFont="1" applyFill="1" applyBorder="1" applyAlignment="1">
      <alignment horizontal="right"/>
    </xf>
    <xf numFmtId="164" fontId="2" fillId="13" borderId="8" xfId="0" applyNumberFormat="1" applyFont="1" applyFill="1" applyBorder="1" applyAlignment="1">
      <alignment horizontal="right"/>
    </xf>
    <xf numFmtId="164" fontId="15" fillId="13" borderId="15" xfId="0" quotePrefix="1" applyNumberFormat="1" applyFont="1" applyFill="1" applyBorder="1" applyAlignment="1">
      <alignment horizontal="right"/>
    </xf>
    <xf numFmtId="164" fontId="15" fillId="13" borderId="8" xfId="0" applyNumberFormat="1" applyFont="1" applyFill="1" applyBorder="1" applyAlignment="1">
      <alignment horizontal="right"/>
    </xf>
    <xf numFmtId="167" fontId="15" fillId="13" borderId="16" xfId="0" quotePrefix="1" applyNumberFormat="1" applyFont="1" applyFill="1" applyBorder="1" applyAlignment="1">
      <alignment horizontal="center"/>
    </xf>
    <xf numFmtId="167" fontId="15" fillId="13" borderId="6" xfId="0" applyNumberFormat="1" applyFont="1" applyFill="1" applyBorder="1" applyAlignment="1">
      <alignment horizontal="center"/>
    </xf>
    <xf numFmtId="49" fontId="15" fillId="13" borderId="16" xfId="0" quotePrefix="1" applyNumberFormat="1" applyFont="1" applyFill="1" applyBorder="1" applyAlignment="1">
      <alignment horizontal="center"/>
    </xf>
    <xf numFmtId="49" fontId="15" fillId="13" borderId="6" xfId="0" quotePrefix="1" applyNumberFormat="1" applyFont="1" applyFill="1" applyBorder="1" applyAlignment="1">
      <alignment horizontal="center"/>
    </xf>
    <xf numFmtId="164" fontId="15" fillId="13" borderId="16" xfId="0" quotePrefix="1" applyNumberFormat="1" applyFont="1" applyFill="1" applyBorder="1" applyAlignment="1">
      <alignment horizontal="right"/>
    </xf>
    <xf numFmtId="164" fontId="15" fillId="13" borderId="6" xfId="0" applyNumberFormat="1" applyFont="1" applyFill="1" applyBorder="1" applyAlignment="1">
      <alignment horizontal="right"/>
    </xf>
    <xf numFmtId="164" fontId="2" fillId="14" borderId="58" xfId="0" quotePrefix="1" applyNumberFormat="1" applyFont="1" applyFill="1" applyBorder="1" applyAlignment="1">
      <alignment horizontal="right"/>
    </xf>
    <xf numFmtId="164" fontId="2" fillId="14" borderId="59" xfId="0" applyNumberFormat="1" applyFont="1" applyFill="1" applyBorder="1" applyAlignment="1">
      <alignment horizontal="right"/>
    </xf>
    <xf numFmtId="166" fontId="2" fillId="0" borderId="16" xfId="0" quotePrefix="1" applyNumberFormat="1" applyFont="1" applyBorder="1" applyAlignment="1">
      <alignment horizontal="right"/>
    </xf>
    <xf numFmtId="166" fontId="2" fillId="0" borderId="6" xfId="0" applyNumberFormat="1" applyFont="1" applyBorder="1" applyAlignment="1">
      <alignment horizontal="right"/>
    </xf>
    <xf numFmtId="164" fontId="15" fillId="13" borderId="64" xfId="0" quotePrefix="1" applyNumberFormat="1" applyFont="1" applyFill="1" applyBorder="1" applyAlignment="1">
      <alignment horizontal="right"/>
    </xf>
    <xf numFmtId="164" fontId="15" fillId="13" borderId="65" xfId="0" applyNumberFormat="1" applyFont="1" applyFill="1" applyBorder="1" applyAlignment="1">
      <alignment horizontal="right"/>
    </xf>
    <xf numFmtId="167" fontId="15" fillId="13" borderId="14" xfId="0" quotePrefix="1" applyNumberFormat="1" applyFont="1" applyFill="1" applyBorder="1" applyAlignment="1">
      <alignment horizontal="center"/>
    </xf>
    <xf numFmtId="167" fontId="15" fillId="13" borderId="12" xfId="0" applyNumberFormat="1" applyFont="1" applyFill="1" applyBorder="1" applyAlignment="1">
      <alignment horizontal="center"/>
    </xf>
    <xf numFmtId="164" fontId="2" fillId="0" borderId="20" xfId="0" applyNumberFormat="1" applyFont="1" applyBorder="1" applyAlignment="1">
      <alignment horizontal="right"/>
    </xf>
    <xf numFmtId="164" fontId="2" fillId="0" borderId="62" xfId="0" applyNumberFormat="1" applyFont="1" applyBorder="1" applyAlignment="1">
      <alignment horizontal="right"/>
    </xf>
    <xf numFmtId="164" fontId="15" fillId="20" borderId="16" xfId="0" quotePrefix="1" applyNumberFormat="1" applyFont="1" applyFill="1" applyBorder="1" applyAlignment="1">
      <alignment horizontal="right"/>
    </xf>
    <xf numFmtId="164" fontId="15" fillId="20" borderId="6" xfId="0" applyNumberFormat="1" applyFont="1" applyFill="1" applyBorder="1" applyAlignment="1">
      <alignment horizontal="right"/>
    </xf>
    <xf numFmtId="164" fontId="2" fillId="18" borderId="60" xfId="0" applyNumberFormat="1" applyFont="1" applyFill="1" applyBorder="1" applyAlignment="1">
      <alignment horizontal="right"/>
    </xf>
    <xf numFmtId="164" fontId="2" fillId="18" borderId="61" xfId="0" applyNumberFormat="1" applyFont="1" applyFill="1" applyBorder="1" applyAlignment="1">
      <alignment horizontal="right"/>
    </xf>
    <xf numFmtId="164" fontId="2" fillId="18" borderId="15" xfId="0" applyNumberFormat="1" applyFont="1" applyFill="1" applyBorder="1" applyAlignment="1">
      <alignment horizontal="right"/>
    </xf>
    <xf numFmtId="164" fontId="2" fillId="18" borderId="8" xfId="0" applyNumberFormat="1" applyFont="1" applyFill="1" applyBorder="1" applyAlignment="1">
      <alignment horizontal="right"/>
    </xf>
    <xf numFmtId="164" fontId="2" fillId="4" borderId="16" xfId="0" applyNumberFormat="1" applyFont="1" applyFill="1" applyBorder="1" applyAlignment="1">
      <alignment horizontal="right"/>
    </xf>
    <xf numFmtId="164" fontId="2" fillId="19" borderId="16" xfId="0" applyNumberFormat="1" applyFont="1" applyFill="1" applyBorder="1" applyAlignment="1">
      <alignment horizontal="right"/>
    </xf>
    <xf numFmtId="164" fontId="2" fillId="18" borderId="4" xfId="0" applyNumberFormat="1" applyFont="1" applyFill="1" applyBorder="1" applyAlignment="1">
      <alignment horizontal="right"/>
    </xf>
    <xf numFmtId="0" fontId="15" fillId="6" borderId="15" xfId="0" applyFont="1" applyFill="1" applyBorder="1" applyAlignment="1">
      <alignment horizontal="center"/>
    </xf>
    <xf numFmtId="0" fontId="15" fillId="6" borderId="8" xfId="0" applyFont="1" applyFill="1" applyBorder="1" applyAlignment="1">
      <alignment horizontal="center"/>
    </xf>
    <xf numFmtId="164" fontId="20" fillId="0" borderId="15" xfId="0" quotePrefix="1" applyNumberFormat="1" applyFont="1" applyBorder="1" applyAlignment="1">
      <alignment horizontal="right"/>
    </xf>
    <xf numFmtId="164" fontId="20" fillId="0" borderId="8" xfId="0" applyNumberFormat="1" applyFont="1" applyBorder="1" applyAlignment="1">
      <alignment horizontal="right"/>
    </xf>
    <xf numFmtId="0" fontId="15" fillId="6" borderId="14" xfId="0" quotePrefix="1" applyFont="1" applyFill="1" applyBorder="1" applyAlignment="1">
      <alignment horizontal="center"/>
    </xf>
    <xf numFmtId="0" fontId="15" fillId="6" borderId="12" xfId="0" applyFont="1" applyFill="1" applyBorder="1" applyAlignment="1">
      <alignment horizontal="center"/>
    </xf>
    <xf numFmtId="164" fontId="2" fillId="0" borderId="4" xfId="0" applyNumberFormat="1" applyFont="1" applyBorder="1" applyAlignment="1">
      <alignment horizontal="right"/>
    </xf>
    <xf numFmtId="164" fontId="2" fillId="0" borderId="4" xfId="0" quotePrefix="1" applyNumberFormat="1" applyFont="1" applyBorder="1" applyAlignment="1">
      <alignment horizontal="right"/>
    </xf>
    <xf numFmtId="164" fontId="2" fillId="18" borderId="11" xfId="0" applyNumberFormat="1" applyFont="1" applyFill="1" applyBorder="1" applyAlignment="1">
      <alignment horizontal="right"/>
    </xf>
    <xf numFmtId="164" fontId="2" fillId="18" borderId="10" xfId="0" applyNumberFormat="1" applyFont="1" applyFill="1" applyBorder="1" applyAlignment="1">
      <alignment horizontal="right"/>
    </xf>
    <xf numFmtId="164" fontId="2" fillId="18" borderId="11" xfId="0" quotePrefix="1" applyNumberFormat="1" applyFont="1" applyFill="1" applyBorder="1" applyAlignment="1">
      <alignment horizontal="right"/>
    </xf>
    <xf numFmtId="164" fontId="2" fillId="18" borderId="15" xfId="0" quotePrefix="1" applyNumberFormat="1" applyFont="1" applyFill="1" applyBorder="1" applyAlignment="1">
      <alignment horizontal="right"/>
    </xf>
    <xf numFmtId="164" fontId="2" fillId="18" borderId="4" xfId="0" quotePrefix="1" applyNumberFormat="1" applyFont="1" applyFill="1" applyBorder="1" applyAlignment="1">
      <alignment horizontal="right"/>
    </xf>
    <xf numFmtId="164" fontId="2" fillId="0" borderId="42" xfId="0" quotePrefix="1" applyNumberFormat="1" applyFont="1" applyBorder="1" applyAlignment="1">
      <alignment horizontal="right"/>
    </xf>
    <xf numFmtId="164" fontId="2" fillId="0" borderId="43" xfId="0" applyNumberFormat="1" applyFont="1" applyBorder="1" applyAlignment="1">
      <alignment horizontal="right"/>
    </xf>
    <xf numFmtId="164" fontId="15" fillId="6" borderId="15" xfId="0" quotePrefix="1" applyNumberFormat="1" applyFont="1" applyFill="1" applyBorder="1" applyAlignment="1">
      <alignment horizontal="right"/>
    </xf>
    <xf numFmtId="164" fontId="15" fillId="6" borderId="8" xfId="0" applyNumberFormat="1" applyFont="1" applyFill="1" applyBorder="1" applyAlignment="1">
      <alignment horizontal="right"/>
    </xf>
    <xf numFmtId="164" fontId="2" fillId="18" borderId="36" xfId="0" quotePrefix="1" applyNumberFormat="1" applyFont="1" applyFill="1" applyBorder="1" applyAlignment="1">
      <alignment horizontal="right"/>
    </xf>
    <xf numFmtId="164" fontId="2" fillId="18" borderId="18" xfId="0" applyNumberFormat="1" applyFont="1" applyFill="1" applyBorder="1" applyAlignment="1">
      <alignment horizontal="right"/>
    </xf>
    <xf numFmtId="164" fontId="2" fillId="0" borderId="11" xfId="0" applyNumberFormat="1" applyFont="1" applyBorder="1" applyAlignment="1">
      <alignment horizontal="right"/>
    </xf>
    <xf numFmtId="164" fontId="2" fillId="0" borderId="10" xfId="0" applyNumberFormat="1" applyFont="1" applyBorder="1" applyAlignment="1">
      <alignment horizontal="right"/>
    </xf>
    <xf numFmtId="0" fontId="14" fillId="10" borderId="28" xfId="0" applyFont="1" applyFill="1" applyBorder="1" applyAlignment="1">
      <alignment horizontal="right"/>
    </xf>
    <xf numFmtId="0" fontId="14" fillId="10" borderId="49" xfId="0" applyFont="1" applyFill="1" applyBorder="1" applyAlignment="1">
      <alignment horizontal="right"/>
    </xf>
    <xf numFmtId="0" fontId="14" fillId="10" borderId="29" xfId="0" applyFont="1" applyFill="1" applyBorder="1" applyAlignment="1">
      <alignment horizontal="right"/>
    </xf>
    <xf numFmtId="0" fontId="14" fillId="10" borderId="50" xfId="0" applyFont="1" applyFill="1" applyBorder="1" applyAlignment="1">
      <alignment horizontal="right"/>
    </xf>
    <xf numFmtId="0" fontId="14" fillId="10" borderId="26" xfId="0" applyFont="1" applyFill="1" applyBorder="1" applyAlignment="1">
      <alignment horizontal="right"/>
    </xf>
    <xf numFmtId="0" fontId="14" fillId="10" borderId="46" xfId="0" applyFont="1" applyFill="1" applyBorder="1" applyAlignment="1">
      <alignment horizontal="right"/>
    </xf>
    <xf numFmtId="0" fontId="14" fillId="10" borderId="27" xfId="0" applyFont="1" applyFill="1" applyBorder="1" applyAlignment="1">
      <alignment horizontal="right"/>
    </xf>
    <xf numFmtId="0" fontId="14" fillId="10" borderId="48" xfId="0" applyFont="1" applyFill="1" applyBorder="1" applyAlignment="1">
      <alignment horizontal="right"/>
    </xf>
    <xf numFmtId="164" fontId="2" fillId="4" borderId="4" xfId="0" quotePrefix="1" applyNumberFormat="1" applyFont="1" applyFill="1" applyBorder="1" applyAlignment="1">
      <alignment horizontal="right"/>
    </xf>
    <xf numFmtId="164" fontId="2" fillId="4" borderId="4" xfId="0" applyNumberFormat="1" applyFont="1" applyFill="1" applyBorder="1" applyAlignment="1">
      <alignment horizontal="right"/>
    </xf>
    <xf numFmtId="164" fontId="2" fillId="19" borderId="4" xfId="0" quotePrefix="1" applyNumberFormat="1" applyFont="1" applyFill="1" applyBorder="1" applyAlignment="1">
      <alignment horizontal="right"/>
    </xf>
    <xf numFmtId="164" fontId="2" fillId="19" borderId="4" xfId="0" applyNumberFormat="1" applyFont="1" applyFill="1" applyBorder="1" applyAlignment="1">
      <alignment horizontal="right"/>
    </xf>
    <xf numFmtId="164" fontId="2" fillId="0" borderId="15" xfId="0" quotePrefix="1" applyNumberFormat="1" applyFont="1" applyBorder="1" applyAlignment="1">
      <alignment horizontal="right"/>
    </xf>
    <xf numFmtId="164" fontId="24" fillId="6" borderId="15" xfId="0" quotePrefix="1" applyNumberFormat="1" applyFont="1" applyFill="1" applyBorder="1" applyAlignment="1">
      <alignment horizontal="right"/>
    </xf>
    <xf numFmtId="164" fontId="24" fillId="6" borderId="8" xfId="0" applyNumberFormat="1" applyFont="1" applyFill="1" applyBorder="1" applyAlignment="1">
      <alignment horizontal="right"/>
    </xf>
    <xf numFmtId="164" fontId="24" fillId="6" borderId="35" xfId="0" quotePrefix="1" applyNumberFormat="1" applyFont="1" applyFill="1" applyBorder="1" applyAlignment="1">
      <alignment horizontal="right"/>
    </xf>
    <xf numFmtId="164" fontId="24" fillId="6" borderId="40" xfId="0" applyNumberFormat="1" applyFont="1" applyFill="1" applyBorder="1" applyAlignment="1">
      <alignment horizontal="right"/>
    </xf>
    <xf numFmtId="164" fontId="24" fillId="6" borderId="37" xfId="0" quotePrefix="1" applyNumberFormat="1" applyFont="1" applyFill="1" applyBorder="1" applyAlignment="1">
      <alignment horizontal="right"/>
    </xf>
    <xf numFmtId="164" fontId="24" fillId="6" borderId="41" xfId="0" applyNumberFormat="1" applyFont="1" applyFill="1" applyBorder="1" applyAlignment="1">
      <alignment horizontal="right"/>
    </xf>
    <xf numFmtId="9" fontId="2" fillId="0" borderId="15" xfId="0" quotePrefix="1" applyNumberFormat="1" applyFont="1" applyBorder="1" applyAlignment="1">
      <alignment horizontal="right"/>
    </xf>
    <xf numFmtId="9" fontId="2" fillId="0" borderId="8" xfId="0" applyNumberFormat="1" applyFont="1" applyBorder="1" applyAlignment="1">
      <alignment horizontal="right"/>
    </xf>
    <xf numFmtId="9" fontId="2" fillId="0" borderId="16" xfId="0" quotePrefix="1" applyNumberFormat="1" applyFont="1" applyBorder="1" applyAlignment="1">
      <alignment horizontal="right"/>
    </xf>
    <xf numFmtId="9" fontId="2" fillId="0" borderId="6" xfId="0" applyNumberFormat="1" applyFont="1" applyBorder="1" applyAlignment="1">
      <alignment horizontal="right"/>
    </xf>
    <xf numFmtId="0" fontId="15" fillId="15" borderId="11" xfId="0" applyFont="1" applyFill="1" applyBorder="1" applyAlignment="1">
      <alignment horizontal="center"/>
    </xf>
    <xf numFmtId="0" fontId="15" fillId="15" borderId="10" xfId="0" applyFont="1" applyFill="1" applyBorder="1" applyAlignment="1">
      <alignment horizontal="center"/>
    </xf>
    <xf numFmtId="9" fontId="15" fillId="15" borderId="15" xfId="0" quotePrefix="1" applyNumberFormat="1" applyFont="1" applyFill="1" applyBorder="1" applyAlignment="1">
      <alignment horizontal="right"/>
    </xf>
    <xf numFmtId="9" fontId="15" fillId="15" borderId="8" xfId="0" applyNumberFormat="1" applyFont="1" applyFill="1" applyBorder="1" applyAlignment="1">
      <alignment horizontal="right"/>
    </xf>
    <xf numFmtId="9" fontId="2" fillId="0" borderId="23" xfId="0" quotePrefix="1" applyNumberFormat="1" applyFont="1" applyBorder="1" applyAlignment="1">
      <alignment horizontal="right"/>
    </xf>
    <xf numFmtId="9" fontId="2" fillId="0" borderId="24" xfId="0" applyNumberFormat="1" applyFont="1" applyBorder="1" applyAlignment="1">
      <alignment horizontal="right"/>
    </xf>
    <xf numFmtId="9" fontId="2" fillId="11" borderId="16" xfId="0" quotePrefix="1" applyNumberFormat="1" applyFont="1" applyFill="1" applyBorder="1" applyAlignment="1">
      <alignment horizontal="right"/>
    </xf>
    <xf numFmtId="9" fontId="2" fillId="11" borderId="6" xfId="0" applyNumberFormat="1" applyFont="1" applyFill="1" applyBorder="1" applyAlignment="1">
      <alignment horizontal="right"/>
    </xf>
    <xf numFmtId="9" fontId="2" fillId="11" borderId="11" xfId="0" quotePrefix="1" applyNumberFormat="1" applyFont="1" applyFill="1" applyBorder="1" applyAlignment="1">
      <alignment horizontal="right"/>
    </xf>
    <xf numFmtId="9" fontId="2" fillId="11" borderId="10" xfId="0" applyNumberFormat="1" applyFont="1" applyFill="1" applyBorder="1" applyAlignment="1">
      <alignment horizontal="right"/>
    </xf>
    <xf numFmtId="0" fontId="15" fillId="15" borderId="14" xfId="0" applyFont="1" applyFill="1" applyBorder="1" applyAlignment="1">
      <alignment horizontal="center"/>
    </xf>
    <xf numFmtId="0" fontId="15" fillId="15" borderId="12" xfId="0" applyFont="1" applyFill="1" applyBorder="1" applyAlignment="1">
      <alignment horizontal="center"/>
    </xf>
    <xf numFmtId="0" fontId="24" fillId="6" borderId="14" xfId="0" quotePrefix="1" applyFont="1" applyFill="1" applyBorder="1" applyAlignment="1">
      <alignment horizontal="center"/>
    </xf>
    <xf numFmtId="0" fontId="24" fillId="6" borderId="12" xfId="0" applyFont="1" applyFill="1" applyBorder="1" applyAlignment="1">
      <alignment horizontal="center"/>
    </xf>
    <xf numFmtId="9" fontId="2" fillId="16" borderId="4" xfId="0" quotePrefix="1" applyNumberFormat="1" applyFont="1" applyFill="1" applyBorder="1" applyAlignment="1">
      <alignment horizontal="right"/>
    </xf>
    <xf numFmtId="9" fontId="2" fillId="16" borderId="4" xfId="0" applyNumberFormat="1" applyFont="1" applyFill="1" applyBorder="1" applyAlignment="1">
      <alignment horizontal="right"/>
    </xf>
    <xf numFmtId="9" fontId="2" fillId="0" borderId="4" xfId="0" quotePrefix="1" applyNumberFormat="1" applyFont="1" applyBorder="1" applyAlignment="1">
      <alignment horizontal="right"/>
    </xf>
    <xf numFmtId="9" fontId="2" fillId="0" borderId="4" xfId="0" applyNumberFormat="1" applyFont="1" applyBorder="1" applyAlignment="1">
      <alignment horizontal="right"/>
    </xf>
    <xf numFmtId="9" fontId="2" fillId="0" borderId="11" xfId="0" quotePrefix="1" applyNumberFormat="1" applyFont="1" applyBorder="1" applyAlignment="1">
      <alignment horizontal="right"/>
    </xf>
    <xf numFmtId="9" fontId="2" fillId="0" borderId="10" xfId="0" applyNumberFormat="1" applyFont="1" applyBorder="1" applyAlignment="1">
      <alignment horizontal="right"/>
    </xf>
    <xf numFmtId="9" fontId="15" fillId="8" borderId="39" xfId="0" quotePrefix="1" applyNumberFormat="1" applyFont="1" applyFill="1" applyBorder="1" applyAlignment="1">
      <alignment horizontal="right"/>
    </xf>
    <xf numFmtId="9" fontId="15" fillId="8" borderId="40" xfId="0" applyNumberFormat="1" applyFont="1" applyFill="1" applyBorder="1" applyAlignment="1">
      <alignment horizontal="right"/>
    </xf>
    <xf numFmtId="0" fontId="15" fillId="8" borderId="9" xfId="0" applyFont="1" applyFill="1" applyBorder="1" applyAlignment="1">
      <alignment horizontal="center"/>
    </xf>
    <xf numFmtId="0" fontId="15" fillId="8" borderId="8" xfId="0" applyFont="1" applyFill="1" applyBorder="1" applyAlignment="1">
      <alignment horizontal="center"/>
    </xf>
    <xf numFmtId="9" fontId="2" fillId="16" borderId="11" xfId="0" quotePrefix="1" applyNumberFormat="1" applyFont="1" applyFill="1" applyBorder="1" applyAlignment="1">
      <alignment horizontal="right"/>
    </xf>
    <xf numFmtId="9" fontId="2" fillId="16" borderId="10" xfId="0" applyNumberFormat="1" applyFont="1" applyFill="1" applyBorder="1" applyAlignment="1">
      <alignment horizontal="right"/>
    </xf>
    <xf numFmtId="9" fontId="15" fillId="13" borderId="15" xfId="0" quotePrefix="1" applyNumberFormat="1" applyFont="1" applyFill="1" applyBorder="1" applyAlignment="1">
      <alignment horizontal="right"/>
    </xf>
    <xf numFmtId="9" fontId="15" fillId="13" borderId="8" xfId="0" applyNumberFormat="1" applyFont="1" applyFill="1" applyBorder="1" applyAlignment="1">
      <alignment horizontal="right"/>
    </xf>
    <xf numFmtId="0" fontId="15" fillId="8" borderId="13" xfId="0" applyFont="1" applyFill="1" applyBorder="1" applyAlignment="1">
      <alignment horizontal="center"/>
    </xf>
    <xf numFmtId="0" fontId="15" fillId="8" borderId="0" xfId="0" applyFont="1" applyFill="1" applyAlignment="1">
      <alignment horizontal="center"/>
    </xf>
    <xf numFmtId="9" fontId="2" fillId="14" borderId="4" xfId="0" quotePrefix="1" applyNumberFormat="1" applyFont="1" applyFill="1" applyBorder="1" applyAlignment="1">
      <alignment horizontal="right"/>
    </xf>
    <xf numFmtId="9" fontId="2" fillId="14" borderId="4" xfId="0" applyNumberFormat="1" applyFont="1" applyFill="1" applyBorder="1" applyAlignment="1">
      <alignment horizontal="right"/>
    </xf>
    <xf numFmtId="0" fontId="15" fillId="13" borderId="14" xfId="0" applyFont="1" applyFill="1" applyBorder="1" applyAlignment="1">
      <alignment horizontal="center"/>
    </xf>
    <xf numFmtId="0" fontId="15" fillId="13" borderId="12" xfId="0" applyFont="1" applyFill="1" applyBorder="1" applyAlignment="1">
      <alignment horizontal="center"/>
    </xf>
    <xf numFmtId="0" fontId="15" fillId="13" borderId="11" xfId="0" applyFont="1" applyFill="1" applyBorder="1" applyAlignment="1">
      <alignment horizontal="center"/>
    </xf>
    <xf numFmtId="0" fontId="15" fillId="13" borderId="10" xfId="0" applyFont="1" applyFill="1" applyBorder="1" applyAlignment="1">
      <alignment horizontal="center"/>
    </xf>
    <xf numFmtId="0" fontId="15" fillId="13" borderId="15" xfId="0" applyFont="1" applyFill="1" applyBorder="1" applyAlignment="1">
      <alignment horizontal="center"/>
    </xf>
    <xf numFmtId="0" fontId="15" fillId="13" borderId="8" xfId="0" applyFont="1" applyFill="1" applyBorder="1" applyAlignment="1">
      <alignment horizontal="center"/>
    </xf>
    <xf numFmtId="9" fontId="2" fillId="14" borderId="11" xfId="0" quotePrefix="1" applyNumberFormat="1" applyFont="1" applyFill="1" applyBorder="1" applyAlignment="1">
      <alignment horizontal="right"/>
    </xf>
    <xf numFmtId="9" fontId="2" fillId="14" borderId="10" xfId="0" applyNumberFormat="1" applyFont="1" applyFill="1" applyBorder="1" applyAlignment="1">
      <alignment horizontal="right"/>
    </xf>
    <xf numFmtId="9" fontId="2" fillId="12" borderId="4" xfId="0" quotePrefix="1" applyNumberFormat="1" applyFont="1" applyFill="1" applyBorder="1" applyAlignment="1">
      <alignment horizontal="right"/>
    </xf>
    <xf numFmtId="9" fontId="2" fillId="12" borderId="4" xfId="0" applyNumberFormat="1" applyFont="1" applyFill="1" applyBorder="1" applyAlignment="1">
      <alignment horizontal="right"/>
    </xf>
    <xf numFmtId="9" fontId="15" fillId="7" borderId="15" xfId="0" quotePrefix="1" applyNumberFormat="1" applyFont="1" applyFill="1" applyBorder="1" applyAlignment="1">
      <alignment horizontal="right"/>
    </xf>
    <xf numFmtId="9" fontId="15" fillId="7" borderId="8" xfId="0" applyNumberFormat="1" applyFont="1" applyFill="1" applyBorder="1" applyAlignment="1">
      <alignment horizontal="right"/>
    </xf>
    <xf numFmtId="9" fontId="2" fillId="12" borderId="15" xfId="0" quotePrefix="1" applyNumberFormat="1" applyFont="1" applyFill="1" applyBorder="1" applyAlignment="1">
      <alignment horizontal="right"/>
    </xf>
    <xf numFmtId="9" fontId="2" fillId="12" borderId="8" xfId="0" applyNumberFormat="1" applyFont="1" applyFill="1" applyBorder="1" applyAlignment="1">
      <alignment horizontal="right"/>
    </xf>
    <xf numFmtId="9" fontId="2" fillId="0" borderId="16" xfId="0" quotePrefix="1" applyNumberFormat="1" applyFont="1" applyBorder="1" applyAlignment="1">
      <alignment horizontal="right" vertical="center"/>
    </xf>
    <xf numFmtId="9" fontId="2" fillId="0" borderId="6" xfId="0" applyNumberFormat="1" applyFont="1" applyBorder="1" applyAlignment="1">
      <alignment horizontal="right" vertical="center"/>
    </xf>
    <xf numFmtId="0" fontId="82" fillId="0" borderId="0" xfId="0" applyFont="1" applyAlignment="1">
      <alignment horizontal="left" vertical="top" wrapText="1"/>
    </xf>
    <xf numFmtId="0" fontId="15" fillId="7" borderId="14" xfId="0" applyFont="1" applyFill="1" applyBorder="1" applyAlignment="1">
      <alignment horizontal="center"/>
    </xf>
    <xf numFmtId="0" fontId="15" fillId="7" borderId="12" xfId="0" applyFont="1" applyFill="1" applyBorder="1" applyAlignment="1">
      <alignment horizontal="center"/>
    </xf>
    <xf numFmtId="0" fontId="15" fillId="7" borderId="11" xfId="0" applyFont="1" applyFill="1" applyBorder="1" applyAlignment="1">
      <alignment horizontal="center"/>
    </xf>
    <xf numFmtId="0" fontId="15" fillId="7" borderId="10" xfId="0" applyFont="1" applyFill="1" applyBorder="1" applyAlignment="1">
      <alignment horizontal="center"/>
    </xf>
    <xf numFmtId="0" fontId="15" fillId="7" borderId="15" xfId="0" applyFont="1" applyFill="1" applyBorder="1" applyAlignment="1">
      <alignment horizontal="center" vertical="center"/>
    </xf>
    <xf numFmtId="0" fontId="15" fillId="7" borderId="8" xfId="0" applyFont="1" applyFill="1" applyBorder="1" applyAlignment="1">
      <alignment horizontal="center" vertical="center"/>
    </xf>
    <xf numFmtId="0" fontId="84" fillId="0" borderId="0" xfId="0" applyFont="1" applyAlignment="1">
      <alignment horizontal="left" vertical="center" wrapText="1"/>
    </xf>
    <xf numFmtId="0" fontId="85" fillId="0" borderId="0" xfId="0" applyFont="1" applyAlignment="1">
      <alignment horizontal="left" vertical="center" wrapText="1"/>
    </xf>
    <xf numFmtId="9" fontId="15" fillId="9" borderId="15" xfId="0" quotePrefix="1" applyNumberFormat="1" applyFont="1" applyFill="1" applyBorder="1" applyAlignment="1">
      <alignment horizontal="right" vertical="top"/>
    </xf>
    <xf numFmtId="9" fontId="15" fillId="9" borderId="8" xfId="0" applyNumberFormat="1" applyFont="1" applyFill="1" applyBorder="1" applyAlignment="1">
      <alignment horizontal="right" vertical="top"/>
    </xf>
    <xf numFmtId="9" fontId="2" fillId="0" borderId="36" xfId="0" quotePrefix="1" applyNumberFormat="1" applyFont="1" applyBorder="1" applyAlignment="1">
      <alignment horizontal="right" vertical="top"/>
    </xf>
    <xf numFmtId="9" fontId="2" fillId="0" borderId="18" xfId="0" applyNumberFormat="1" applyFont="1" applyBorder="1" applyAlignment="1">
      <alignment horizontal="right" vertical="top"/>
    </xf>
    <xf numFmtId="9" fontId="2" fillId="0" borderId="15" xfId="0" quotePrefix="1" applyNumberFormat="1" applyFont="1" applyBorder="1" applyAlignment="1">
      <alignment horizontal="right" vertical="top"/>
    </xf>
    <xf numFmtId="9" fontId="2" fillId="0" borderId="8" xfId="0" applyNumberFormat="1" applyFont="1" applyBorder="1" applyAlignment="1">
      <alignment horizontal="right" vertical="top"/>
    </xf>
    <xf numFmtId="9" fontId="2" fillId="11" borderId="16" xfId="0" quotePrefix="1" applyNumberFormat="1" applyFont="1" applyFill="1" applyBorder="1" applyAlignment="1">
      <alignment horizontal="right" vertical="center"/>
    </xf>
    <xf numFmtId="9" fontId="2" fillId="11" borderId="6" xfId="0" applyNumberFormat="1" applyFont="1" applyFill="1" applyBorder="1" applyAlignment="1">
      <alignment horizontal="right" vertical="center"/>
    </xf>
    <xf numFmtId="0" fontId="82" fillId="0" borderId="0" xfId="0" applyFont="1" applyAlignment="1">
      <alignment horizontal="left"/>
    </xf>
    <xf numFmtId="0" fontId="82" fillId="0" borderId="0" xfId="0" applyFont="1" applyAlignment="1">
      <alignment horizontal="left" vertical="center"/>
    </xf>
    <xf numFmtId="0" fontId="15" fillId="9" borderId="14" xfId="0" applyFont="1" applyFill="1" applyBorder="1" applyAlignment="1">
      <alignment horizontal="center"/>
    </xf>
    <xf numFmtId="0" fontId="15" fillId="9" borderId="12" xfId="0" applyFont="1" applyFill="1" applyBorder="1" applyAlignment="1">
      <alignment horizontal="center"/>
    </xf>
    <xf numFmtId="0" fontId="15" fillId="9" borderId="36" xfId="0" applyFont="1" applyFill="1" applyBorder="1" applyAlignment="1">
      <alignment horizontal="center" vertical="center"/>
    </xf>
    <xf numFmtId="0" fontId="15" fillId="9" borderId="18" xfId="0" applyFont="1" applyFill="1" applyBorder="1" applyAlignment="1">
      <alignment horizontal="center" vertical="center"/>
    </xf>
    <xf numFmtId="9" fontId="2" fillId="11" borderId="11" xfId="0" quotePrefix="1" applyNumberFormat="1" applyFont="1" applyFill="1" applyBorder="1" applyAlignment="1">
      <alignment horizontal="right" vertical="center"/>
    </xf>
    <xf numFmtId="9" fontId="2" fillId="11" borderId="10" xfId="0" applyNumberFormat="1" applyFont="1" applyFill="1" applyBorder="1" applyAlignment="1">
      <alignment horizontal="right" vertical="center"/>
    </xf>
    <xf numFmtId="9" fontId="2" fillId="0" borderId="23" xfId="0" quotePrefix="1" applyNumberFormat="1" applyFont="1" applyBorder="1" applyAlignment="1">
      <alignment horizontal="right" vertical="center"/>
    </xf>
    <xf numFmtId="9" fontId="2" fillId="0" borderId="24" xfId="0" applyNumberFormat="1" applyFont="1" applyBorder="1" applyAlignment="1">
      <alignment horizontal="right" vertical="center"/>
    </xf>
    <xf numFmtId="164" fontId="25" fillId="0" borderId="13" xfId="0" applyNumberFormat="1" applyFont="1" applyBorder="1" applyAlignment="1">
      <alignment horizontal="left"/>
    </xf>
    <xf numFmtId="0" fontId="24" fillId="6" borderId="15" xfId="0" applyFont="1" applyFill="1" applyBorder="1" applyAlignment="1">
      <alignment horizontal="center"/>
    </xf>
    <xf numFmtId="0" fontId="24" fillId="6" borderId="8" xfId="0" applyFont="1" applyFill="1" applyBorder="1" applyAlignment="1">
      <alignment horizontal="center"/>
    </xf>
    <xf numFmtId="164" fontId="15" fillId="13" borderId="66" xfId="0" quotePrefix="1" applyNumberFormat="1" applyFont="1" applyFill="1" applyBorder="1" applyAlignment="1">
      <alignment horizontal="right"/>
    </xf>
    <xf numFmtId="164" fontId="15" fillId="13" borderId="63" xfId="0" applyNumberFormat="1" applyFont="1" applyFill="1" applyBorder="1" applyAlignment="1">
      <alignment horizontal="right"/>
    </xf>
    <xf numFmtId="164" fontId="2" fillId="0" borderId="14" xfId="0" quotePrefix="1" applyNumberFormat="1" applyFont="1" applyBorder="1" applyAlignment="1">
      <alignment horizontal="right"/>
    </xf>
    <xf numFmtId="165" fontId="2" fillId="0" borderId="60" xfId="0" quotePrefix="1" applyNumberFormat="1" applyFont="1" applyBorder="1" applyAlignment="1">
      <alignment horizontal="right"/>
    </xf>
    <xf numFmtId="165" fontId="2" fillId="0" borderId="61" xfId="0" applyNumberFormat="1" applyFont="1" applyBorder="1" applyAlignment="1">
      <alignment horizontal="right"/>
    </xf>
    <xf numFmtId="0" fontId="2" fillId="0" borderId="0" xfId="0" applyFont="1" applyAlignment="1">
      <alignment horizontal="center"/>
    </xf>
    <xf numFmtId="0" fontId="27" fillId="0" borderId="0" xfId="0" applyFont="1" applyAlignment="1">
      <alignment horizontal="left" vertical="top" wrapText="1"/>
    </xf>
    <xf numFmtId="0" fontId="26" fillId="0" borderId="0" xfId="0" applyFont="1" applyAlignment="1">
      <alignment horizontal="left" vertical="top" wrapText="1"/>
    </xf>
    <xf numFmtId="0" fontId="20" fillId="0" borderId="0" xfId="0" applyFont="1" applyAlignment="1">
      <alignment horizontal="left"/>
    </xf>
    <xf numFmtId="0" fontId="15" fillId="8" borderId="82" xfId="3" applyFont="1" applyFill="1" applyBorder="1" applyAlignment="1">
      <alignment horizontal="center"/>
    </xf>
    <xf numFmtId="0" fontId="15" fillId="8" borderId="83" xfId="3" applyFont="1" applyFill="1" applyBorder="1" applyAlignment="1">
      <alignment horizontal="center"/>
    </xf>
    <xf numFmtId="0" fontId="15" fillId="8" borderId="84" xfId="3" applyFont="1" applyFill="1" applyBorder="1" applyAlignment="1">
      <alignment horizontal="center"/>
    </xf>
    <xf numFmtId="0" fontId="2" fillId="0" borderId="0" xfId="3" applyFont="1" applyAlignment="1">
      <alignment horizontal="left" wrapText="1"/>
    </xf>
    <xf numFmtId="0" fontId="15" fillId="8" borderId="72" xfId="3" applyFont="1" applyFill="1" applyBorder="1" applyAlignment="1">
      <alignment horizontal="center" vertical="center"/>
    </xf>
    <xf numFmtId="0" fontId="15" fillId="8" borderId="71" xfId="3" applyFont="1" applyFill="1" applyBorder="1" applyAlignment="1">
      <alignment horizontal="center" vertical="center"/>
    </xf>
    <xf numFmtId="0" fontId="2" fillId="16" borderId="16" xfId="3" applyFont="1" applyFill="1" applyBorder="1" applyAlignment="1">
      <alignment horizontal="right"/>
    </xf>
    <xf numFmtId="0" fontId="2" fillId="16" borderId="6" xfId="3" applyFont="1" applyFill="1" applyBorder="1" applyAlignment="1">
      <alignment horizontal="right"/>
    </xf>
    <xf numFmtId="0" fontId="2" fillId="0" borderId="16" xfId="3" applyFont="1" applyBorder="1" applyAlignment="1">
      <alignment horizontal="right"/>
    </xf>
    <xf numFmtId="0" fontId="2" fillId="0" borderId="6" xfId="3" applyFont="1" applyBorder="1" applyAlignment="1">
      <alignment horizontal="right"/>
    </xf>
    <xf numFmtId="0" fontId="2" fillId="16" borderId="11" xfId="3" applyFont="1" applyFill="1" applyBorder="1" applyAlignment="1">
      <alignment horizontal="right"/>
    </xf>
    <xf numFmtId="0" fontId="2" fillId="16" borderId="10" xfId="3" applyFont="1" applyFill="1" applyBorder="1" applyAlignment="1">
      <alignment horizontal="right"/>
    </xf>
    <xf numFmtId="0" fontId="15" fillId="8" borderId="15" xfId="3" applyFont="1" applyFill="1" applyBorder="1" applyAlignment="1">
      <alignment horizontal="right"/>
    </xf>
    <xf numFmtId="0" fontId="15" fillId="8" borderId="8" xfId="3" applyFont="1" applyFill="1" applyBorder="1" applyAlignment="1">
      <alignment horizontal="right"/>
    </xf>
    <xf numFmtId="0" fontId="16" fillId="0" borderId="0" xfId="0" applyFont="1" applyAlignment="1">
      <alignment horizontal="center"/>
    </xf>
    <xf numFmtId="0" fontId="22" fillId="0" borderId="0" xfId="0" applyFont="1" applyAlignment="1">
      <alignment horizontal="center" vertical="center"/>
    </xf>
    <xf numFmtId="0" fontId="72" fillId="0" borderId="0" xfId="0" applyFont="1" applyAlignment="1">
      <alignment horizontal="left" vertical="center" indent="3"/>
    </xf>
    <xf numFmtId="0" fontId="72" fillId="0" borderId="0" xfId="0" applyFont="1" applyAlignment="1">
      <alignment horizontal="left" vertical="center" indent="7"/>
    </xf>
    <xf numFmtId="0" fontId="72" fillId="0" borderId="0" xfId="0" applyFont="1" applyAlignment="1">
      <alignment horizontal="left" vertical="center" indent="8"/>
    </xf>
    <xf numFmtId="0" fontId="71" fillId="0" borderId="0" xfId="10" applyFont="1" applyFill="1" applyAlignment="1">
      <alignment horizontal="left" indent="5"/>
    </xf>
    <xf numFmtId="0" fontId="74" fillId="0" borderId="0" xfId="10" applyFont="1" applyFill="1" applyAlignment="1">
      <alignment horizontal="left" indent="7"/>
    </xf>
    <xf numFmtId="0" fontId="73" fillId="0" borderId="0" xfId="0" applyFont="1" applyAlignment="1">
      <alignment horizontal="left" indent="5"/>
    </xf>
    <xf numFmtId="0" fontId="70" fillId="0" borderId="0" xfId="0" applyFont="1" applyAlignment="1">
      <alignment horizontal="left"/>
    </xf>
    <xf numFmtId="0" fontId="71" fillId="0" borderId="0" xfId="0" applyFont="1" applyAlignment="1">
      <alignment horizontal="left" indent="5"/>
    </xf>
    <xf numFmtId="0" fontId="69" fillId="0" borderId="0" xfId="8" applyFont="1" applyAlignment="1">
      <alignment horizontal="left" vertical="center"/>
    </xf>
    <xf numFmtId="0" fontId="69" fillId="0" borderId="0" xfId="8" applyFont="1" applyAlignment="1">
      <alignment horizontal="left" vertical="center" wrapText="1"/>
    </xf>
    <xf numFmtId="0" fontId="69" fillId="0" borderId="97" xfId="8" applyFont="1" applyBorder="1" applyAlignment="1">
      <alignment horizontal="left" vertical="center"/>
    </xf>
    <xf numFmtId="0" fontId="65" fillId="0" borderId="0" xfId="0" applyFont="1" applyAlignment="1">
      <alignment horizontal="left"/>
    </xf>
    <xf numFmtId="0" fontId="69" fillId="0" borderId="96" xfId="8" applyFont="1" applyBorder="1" applyAlignment="1">
      <alignment horizontal="left" vertical="center" wrapText="1"/>
    </xf>
    <xf numFmtId="0" fontId="69" fillId="0" borderId="97" xfId="8" applyFont="1" applyBorder="1" applyAlignment="1">
      <alignment horizontal="left" vertical="center" wrapText="1"/>
    </xf>
    <xf numFmtId="0" fontId="38" fillId="0" borderId="0" xfId="0" applyFont="1" applyAlignment="1">
      <alignment horizontal="center"/>
    </xf>
    <xf numFmtId="0" fontId="24" fillId="13" borderId="16" xfId="0" applyFont="1" applyFill="1" applyBorder="1" applyAlignment="1">
      <alignment horizontal="center"/>
    </xf>
    <xf numFmtId="0" fontId="24" fillId="13" borderId="17" xfId="0" applyFont="1" applyFill="1" applyBorder="1" applyAlignment="1">
      <alignment horizontal="center"/>
    </xf>
    <xf numFmtId="0" fontId="24" fillId="13" borderId="6" xfId="0" applyFont="1" applyFill="1" applyBorder="1" applyAlignment="1">
      <alignment horizontal="center"/>
    </xf>
    <xf numFmtId="0" fontId="69" fillId="0" borderId="96" xfId="8" applyFont="1" applyBorder="1" applyAlignment="1">
      <alignment horizontal="right" vertical="center"/>
    </xf>
    <xf numFmtId="0" fontId="69" fillId="0" borderId="95" xfId="8" applyFont="1" applyBorder="1" applyAlignment="1">
      <alignment horizontal="right" vertical="center"/>
    </xf>
    <xf numFmtId="0" fontId="69" fillId="0" borderId="96" xfId="8" applyFont="1" applyBorder="1" applyAlignment="1">
      <alignment horizontal="left" vertical="top" wrapText="1"/>
    </xf>
    <xf numFmtId="0" fontId="69" fillId="0" borderId="0" xfId="8" applyFont="1" applyAlignment="1">
      <alignment horizontal="left" wrapText="1"/>
    </xf>
    <xf numFmtId="0" fontId="32" fillId="0" borderId="0" xfId="0" applyFont="1" applyAlignment="1">
      <alignment horizontal="center"/>
    </xf>
    <xf numFmtId="0" fontId="29" fillId="0" borderId="0" xfId="0" applyFont="1" applyAlignment="1">
      <alignment horizontal="center"/>
    </xf>
    <xf numFmtId="164" fontId="2" fillId="0" borderId="16" xfId="3" quotePrefix="1" applyNumberFormat="1" applyFont="1" applyBorder="1" applyAlignment="1">
      <alignment horizontal="right" vertical="center" wrapText="1"/>
    </xf>
    <xf numFmtId="164" fontId="2" fillId="0" borderId="6" xfId="3" quotePrefix="1" applyNumberFormat="1" applyFont="1" applyBorder="1" applyAlignment="1">
      <alignment horizontal="right" vertical="center" wrapText="1"/>
    </xf>
    <xf numFmtId="164" fontId="2" fillId="16" borderId="16" xfId="3" quotePrefix="1" applyNumberFormat="1" applyFont="1" applyFill="1" applyBorder="1" applyAlignment="1">
      <alignment horizontal="right" vertical="center" wrapText="1"/>
    </xf>
    <xf numFmtId="164" fontId="2" fillId="16" borderId="6" xfId="3" quotePrefix="1" applyNumberFormat="1" applyFont="1" applyFill="1" applyBorder="1" applyAlignment="1">
      <alignment horizontal="right" vertical="center" wrapText="1"/>
    </xf>
    <xf numFmtId="164" fontId="2" fillId="0" borderId="16" xfId="3" applyNumberFormat="1" applyFont="1" applyBorder="1" applyAlignment="1">
      <alignment horizontal="right" vertical="center" wrapText="1"/>
    </xf>
    <xf numFmtId="164" fontId="2" fillId="0" borderId="6" xfId="3" applyNumberFormat="1" applyFont="1" applyBorder="1" applyAlignment="1">
      <alignment horizontal="right" vertical="center" wrapText="1"/>
    </xf>
    <xf numFmtId="164" fontId="15" fillId="8" borderId="89" xfId="3" quotePrefix="1" applyNumberFormat="1" applyFont="1" applyFill="1" applyBorder="1" applyAlignment="1">
      <alignment horizontal="right" vertical="center" wrapText="1"/>
    </xf>
    <xf numFmtId="164" fontId="15" fillId="8" borderId="17" xfId="3" quotePrefix="1" applyNumberFormat="1" applyFont="1" applyFill="1" applyBorder="1" applyAlignment="1">
      <alignment horizontal="right" vertical="center" wrapText="1"/>
    </xf>
    <xf numFmtId="0" fontId="16" fillId="0" borderId="0" xfId="0" quotePrefix="1" applyFont="1" applyAlignment="1">
      <alignment horizontal="center"/>
    </xf>
    <xf numFmtId="0" fontId="15" fillId="8" borderId="85" xfId="3" quotePrefix="1" applyFont="1" applyFill="1" applyBorder="1" applyAlignment="1">
      <alignment horizontal="center"/>
    </xf>
    <xf numFmtId="0" fontId="15" fillId="8" borderId="86" xfId="3" quotePrefix="1" applyFont="1" applyFill="1" applyBorder="1" applyAlignment="1">
      <alignment horizontal="center"/>
    </xf>
    <xf numFmtId="0" fontId="15" fillId="8" borderId="57" xfId="3" quotePrefix="1" applyFont="1" applyFill="1" applyBorder="1" applyAlignment="1">
      <alignment horizontal="center"/>
    </xf>
    <xf numFmtId="0" fontId="15" fillId="8" borderId="87" xfId="3" applyFont="1" applyFill="1" applyBorder="1" applyAlignment="1">
      <alignment horizontal="center"/>
    </xf>
    <xf numFmtId="0" fontId="15" fillId="8" borderId="88" xfId="3" applyFont="1" applyFill="1" applyBorder="1" applyAlignment="1">
      <alignment horizontal="center"/>
    </xf>
    <xf numFmtId="0" fontId="15" fillId="8" borderId="55" xfId="3" applyFont="1" applyFill="1" applyBorder="1" applyAlignment="1">
      <alignment horizontal="center"/>
    </xf>
    <xf numFmtId="164" fontId="2" fillId="16" borderId="15" xfId="3" quotePrefix="1" applyNumberFormat="1" applyFont="1" applyFill="1" applyBorder="1" applyAlignment="1">
      <alignment horizontal="right" vertical="center" wrapText="1"/>
    </xf>
    <xf numFmtId="164" fontId="2" fillId="16" borderId="8" xfId="3" quotePrefix="1" applyNumberFormat="1" applyFont="1" applyFill="1" applyBorder="1" applyAlignment="1">
      <alignment horizontal="right" vertical="center" wrapText="1"/>
    </xf>
    <xf numFmtId="0" fontId="15" fillId="8" borderId="90" xfId="3" applyFont="1" applyFill="1" applyBorder="1" applyAlignment="1">
      <alignment horizontal="center"/>
    </xf>
    <xf numFmtId="0" fontId="15" fillId="8" borderId="91" xfId="3" applyFont="1" applyFill="1" applyBorder="1" applyAlignment="1">
      <alignment horizontal="center"/>
    </xf>
    <xf numFmtId="15" fontId="15" fillId="8" borderId="79" xfId="3" quotePrefix="1" applyNumberFormat="1" applyFont="1" applyFill="1" applyBorder="1" applyAlignment="1">
      <alignment horizontal="center"/>
    </xf>
    <xf numFmtId="15" fontId="15" fillId="8" borderId="92" xfId="3" quotePrefix="1" applyNumberFormat="1" applyFont="1" applyFill="1" applyBorder="1" applyAlignment="1">
      <alignment horizontal="center"/>
    </xf>
    <xf numFmtId="0" fontId="15" fillId="8" borderId="93" xfId="3" applyFont="1" applyFill="1" applyBorder="1" applyAlignment="1">
      <alignment horizontal="center"/>
    </xf>
    <xf numFmtId="0" fontId="15" fillId="8" borderId="94" xfId="3" applyFont="1" applyFill="1" applyBorder="1" applyAlignment="1">
      <alignment horizontal="center"/>
    </xf>
    <xf numFmtId="0" fontId="58" fillId="0" borderId="0" xfId="0" applyFont="1" applyAlignment="1">
      <alignment horizontal="left"/>
    </xf>
    <xf numFmtId="0" fontId="58" fillId="0" borderId="0" xfId="0" applyFont="1" applyAlignment="1">
      <alignment horizontal="left" wrapText="1"/>
    </xf>
    <xf numFmtId="0" fontId="66" fillId="0" borderId="0" xfId="0" applyFont="1" applyAlignment="1">
      <alignment horizontal="left" wrapText="1" indent="3"/>
    </xf>
    <xf numFmtId="0" fontId="15" fillId="8" borderId="81" xfId="0" applyFont="1" applyFill="1" applyBorder="1" applyAlignment="1">
      <alignment horizontal="center"/>
    </xf>
    <xf numFmtId="0" fontId="33" fillId="0" borderId="0" xfId="0" applyFont="1" applyAlignment="1">
      <alignment horizontal="center"/>
    </xf>
    <xf numFmtId="9" fontId="2" fillId="16" borderId="16" xfId="0" quotePrefix="1" applyNumberFormat="1" applyFont="1" applyFill="1" applyBorder="1" applyAlignment="1">
      <alignment horizontal="right"/>
    </xf>
    <xf numFmtId="9" fontId="2" fillId="16" borderId="6" xfId="0" quotePrefix="1" applyNumberFormat="1" applyFont="1" applyFill="1" applyBorder="1" applyAlignment="1">
      <alignment horizontal="right"/>
    </xf>
    <xf numFmtId="9" fontId="2" fillId="0" borderId="6" xfId="0" quotePrefix="1" applyNumberFormat="1" applyFont="1" applyBorder="1" applyAlignment="1">
      <alignment horizontal="right"/>
    </xf>
    <xf numFmtId="9" fontId="15" fillId="8" borderId="80" xfId="0" quotePrefix="1" applyNumberFormat="1" applyFont="1" applyFill="1" applyBorder="1" applyAlignment="1">
      <alignment horizontal="right"/>
    </xf>
    <xf numFmtId="9" fontId="15" fillId="8" borderId="40" xfId="0" quotePrefix="1" applyNumberFormat="1" applyFont="1" applyFill="1" applyBorder="1" applyAlignment="1">
      <alignment horizontal="right"/>
    </xf>
    <xf numFmtId="9" fontId="2" fillId="0" borderId="60" xfId="0" quotePrefix="1" applyNumberFormat="1" applyFont="1" applyBorder="1" applyAlignment="1">
      <alignment horizontal="right"/>
    </xf>
    <xf numFmtId="9" fontId="2" fillId="0" borderId="61" xfId="0" quotePrefix="1" applyNumberFormat="1" applyFont="1" applyBorder="1" applyAlignment="1">
      <alignment horizontal="right"/>
    </xf>
    <xf numFmtId="0" fontId="24" fillId="9" borderId="36" xfId="0" applyFont="1" applyFill="1" applyBorder="1" applyAlignment="1">
      <alignment horizontal="center" vertical="center"/>
    </xf>
    <xf numFmtId="0" fontId="24" fillId="9" borderId="18" xfId="0" applyFont="1" applyFill="1" applyBorder="1" applyAlignment="1">
      <alignment horizontal="center" vertical="center"/>
    </xf>
    <xf numFmtId="0" fontId="24" fillId="9" borderId="14" xfId="0" applyFont="1" applyFill="1" applyBorder="1" applyAlignment="1">
      <alignment horizontal="center"/>
    </xf>
    <xf numFmtId="0" fontId="24" fillId="9" borderId="12" xfId="0" applyFont="1" applyFill="1" applyBorder="1" applyAlignment="1">
      <alignment horizontal="center"/>
    </xf>
    <xf numFmtId="0" fontId="28" fillId="0" borderId="0" xfId="0" applyFont="1" applyAlignment="1">
      <alignment horizontal="left" wrapText="1"/>
    </xf>
    <xf numFmtId="164" fontId="2" fillId="0" borderId="16" xfId="0" applyNumberFormat="1" applyFont="1" applyBorder="1" applyAlignment="1">
      <alignment horizontal="right" vertical="center"/>
    </xf>
    <xf numFmtId="164" fontId="2" fillId="0" borderId="6" xfId="0" applyNumberFormat="1" applyFont="1" applyBorder="1" applyAlignment="1">
      <alignment horizontal="right" vertical="center"/>
    </xf>
    <xf numFmtId="164" fontId="2" fillId="11" borderId="15" xfId="0" applyNumberFormat="1" applyFont="1" applyFill="1" applyBorder="1" applyAlignment="1">
      <alignment horizontal="right" vertical="center"/>
    </xf>
    <xf numFmtId="164" fontId="2" fillId="11" borderId="8" xfId="0" applyNumberFormat="1" applyFont="1" applyFill="1" applyBorder="1" applyAlignment="1">
      <alignment horizontal="right" vertical="center"/>
    </xf>
    <xf numFmtId="166" fontId="5" fillId="0" borderId="16" xfId="0" applyNumberFormat="1" applyFont="1" applyBorder="1" applyAlignment="1">
      <alignment horizontal="right"/>
    </xf>
    <xf numFmtId="166" fontId="5" fillId="0" borderId="6" xfId="0" applyNumberFormat="1" applyFont="1" applyBorder="1" applyAlignment="1">
      <alignment horizontal="right"/>
    </xf>
    <xf numFmtId="164" fontId="24" fillId="9" borderId="64" xfId="0" applyNumberFormat="1" applyFont="1" applyFill="1" applyBorder="1" applyAlignment="1">
      <alignment horizontal="right" vertical="top"/>
    </xf>
    <xf numFmtId="164" fontId="24" fillId="9" borderId="65" xfId="0" applyNumberFormat="1" applyFont="1" applyFill="1" applyBorder="1" applyAlignment="1">
      <alignment horizontal="right" vertical="top"/>
    </xf>
    <xf numFmtId="164" fontId="2" fillId="0" borderId="77" xfId="0" applyNumberFormat="1" applyFont="1" applyBorder="1" applyAlignment="1">
      <alignment horizontal="right" vertical="center"/>
    </xf>
    <xf numFmtId="164" fontId="2" fillId="0" borderId="78" xfId="0" applyNumberFormat="1" applyFont="1" applyBorder="1" applyAlignment="1">
      <alignment horizontal="right" vertical="center"/>
    </xf>
    <xf numFmtId="164" fontId="2" fillId="11" borderId="16" xfId="0" applyNumberFormat="1" applyFont="1" applyFill="1" applyBorder="1" applyAlignment="1">
      <alignment horizontal="right" vertical="center"/>
    </xf>
    <xf numFmtId="164" fontId="2" fillId="11" borderId="6" xfId="0" applyNumberFormat="1" applyFont="1" applyFill="1" applyBorder="1" applyAlignment="1">
      <alignment horizontal="right" vertical="center"/>
    </xf>
    <xf numFmtId="0" fontId="42" fillId="0" borderId="0" xfId="0" applyFont="1" applyAlignment="1">
      <alignment horizontal="center"/>
    </xf>
    <xf numFmtId="9" fontId="2" fillId="11" borderId="6" xfId="0" quotePrefix="1" applyNumberFormat="1" applyFont="1" applyFill="1" applyBorder="1" applyAlignment="1">
      <alignment horizontal="right" vertical="center"/>
    </xf>
    <xf numFmtId="9" fontId="2" fillId="0" borderId="6" xfId="0" quotePrefix="1" applyNumberFormat="1" applyFont="1" applyBorder="1" applyAlignment="1">
      <alignment horizontal="right" vertical="center"/>
    </xf>
    <xf numFmtId="9" fontId="2" fillId="0" borderId="77" xfId="0" quotePrefix="1" applyNumberFormat="1" applyFont="1" applyBorder="1" applyAlignment="1">
      <alignment horizontal="right" vertical="center"/>
    </xf>
    <xf numFmtId="9" fontId="2" fillId="0" borderId="78" xfId="0" quotePrefix="1" applyNumberFormat="1" applyFont="1" applyBorder="1" applyAlignment="1">
      <alignment horizontal="right" vertical="center"/>
    </xf>
    <xf numFmtId="9" fontId="15" fillId="9" borderId="64" xfId="0" quotePrefix="1" applyNumberFormat="1" applyFont="1" applyFill="1" applyBorder="1" applyAlignment="1">
      <alignment horizontal="right" vertical="top"/>
    </xf>
    <xf numFmtId="9" fontId="15" fillId="9" borderId="65" xfId="0" quotePrefix="1" applyNumberFormat="1" applyFont="1" applyFill="1" applyBorder="1" applyAlignment="1">
      <alignment horizontal="right" vertical="top"/>
    </xf>
    <xf numFmtId="9" fontId="2" fillId="0" borderId="58" xfId="0" quotePrefix="1" applyNumberFormat="1" applyFont="1" applyBorder="1" applyAlignment="1">
      <alignment horizontal="right" vertical="top"/>
    </xf>
    <xf numFmtId="9" fontId="2" fillId="0" borderId="59" xfId="0" quotePrefix="1" applyNumberFormat="1" applyFont="1" applyBorder="1" applyAlignment="1">
      <alignment horizontal="right" vertical="top"/>
    </xf>
    <xf numFmtId="9" fontId="15" fillId="9" borderId="20" xfId="0" quotePrefix="1" applyNumberFormat="1" applyFont="1" applyFill="1" applyBorder="1" applyAlignment="1">
      <alignment horizontal="right" vertical="top"/>
    </xf>
    <xf numFmtId="9" fontId="15" fillId="9" borderId="62" xfId="0" quotePrefix="1" applyNumberFormat="1" applyFont="1" applyFill="1" applyBorder="1" applyAlignment="1">
      <alignment horizontal="right" vertical="top"/>
    </xf>
    <xf numFmtId="9" fontId="2" fillId="0" borderId="16" xfId="0" quotePrefix="1" applyNumberFormat="1" applyFont="1" applyBorder="1" applyAlignment="1">
      <alignment horizontal="right" vertical="top"/>
    </xf>
    <xf numFmtId="9" fontId="2" fillId="0" borderId="6" xfId="0" quotePrefix="1" applyNumberFormat="1" applyFont="1" applyBorder="1" applyAlignment="1">
      <alignment horizontal="right" vertical="top"/>
    </xf>
    <xf numFmtId="164" fontId="25" fillId="0" borderId="17" xfId="0" applyNumberFormat="1" applyFont="1" applyBorder="1" applyAlignment="1">
      <alignment horizontal="left"/>
    </xf>
    <xf numFmtId="0" fontId="59" fillId="0" borderId="0" xfId="0" applyFont="1" applyAlignment="1">
      <alignment horizontal="left" wrapText="1"/>
    </xf>
    <xf numFmtId="0" fontId="60" fillId="0" borderId="0" xfId="0" applyFont="1" applyAlignment="1">
      <alignment horizontal="left" wrapText="1"/>
    </xf>
    <xf numFmtId="0" fontId="63" fillId="0" borderId="0" xfId="0" applyFont="1" applyAlignment="1">
      <alignment horizontal="left" vertical="center"/>
    </xf>
    <xf numFmtId="0" fontId="62" fillId="0" borderId="0" xfId="0" applyFont="1" applyAlignment="1">
      <alignment horizontal="left" indent="1"/>
    </xf>
    <xf numFmtId="0" fontId="61" fillId="0" borderId="0" xfId="0" applyFont="1" applyAlignment="1">
      <alignment horizontal="left" indent="1"/>
    </xf>
    <xf numFmtId="0" fontId="66" fillId="0" borderId="0" xfId="0" applyFont="1" applyAlignment="1">
      <alignment horizontal="left" wrapText="1"/>
    </xf>
    <xf numFmtId="0" fontId="64" fillId="0" borderId="0" xfId="0" applyFont="1"/>
    <xf numFmtId="164" fontId="2" fillId="11" borderId="20" xfId="0" applyNumberFormat="1" applyFont="1" applyFill="1" applyBorder="1" applyAlignment="1">
      <alignment horizontal="right" vertical="center"/>
    </xf>
    <xf numFmtId="164" fontId="2" fillId="11" borderId="62" xfId="0" applyNumberFormat="1" applyFont="1" applyFill="1" applyBorder="1" applyAlignment="1">
      <alignment horizontal="right" vertical="center"/>
    </xf>
    <xf numFmtId="0" fontId="28" fillId="0" borderId="0" xfId="0" applyFont="1" applyAlignment="1">
      <alignment horizontal="left" vertical="top" wrapText="1"/>
    </xf>
    <xf numFmtId="0" fontId="20" fillId="0" borderId="0" xfId="0" applyFont="1" applyAlignment="1">
      <alignment horizontal="left" vertical="top" wrapText="1"/>
    </xf>
    <xf numFmtId="0" fontId="43" fillId="0" borderId="0" xfId="0" applyFont="1" applyAlignment="1">
      <alignment horizontal="center"/>
    </xf>
    <xf numFmtId="0" fontId="27" fillId="0" borderId="0" xfId="0" applyFont="1" applyAlignment="1">
      <alignment horizontal="left" wrapText="1"/>
    </xf>
    <xf numFmtId="0" fontId="11" fillId="0" borderId="0" xfId="0" applyFont="1" applyAlignment="1">
      <alignment horizontal="left" wrapText="1"/>
    </xf>
    <xf numFmtId="0" fontId="31" fillId="0" borderId="0" xfId="0" applyFont="1" applyAlignment="1">
      <alignment horizontal="left" wrapText="1"/>
    </xf>
  </cellXfs>
  <cellStyles count="11">
    <cellStyle name="Hyperlink" xfId="9" builtinId="8" hidden="1"/>
    <cellStyle name="Hyperlink" xfId="10" builtinId="8" customBuiltin="1"/>
    <cellStyle name="Normal" xfId="0" builtinId="0"/>
    <cellStyle name="Normal 13 2" xfId="7" xr:uid="{00000000-0005-0000-0000-000001000000}"/>
    <cellStyle name="Normal 14 2 2" xfId="8" xr:uid="{00000000-0005-0000-0000-000002000000}"/>
    <cellStyle name="Normal 2 2 3 2" xfId="6" xr:uid="{00000000-0005-0000-0000-000003000000}"/>
    <cellStyle name="Normal 2 4" xfId="1" xr:uid="{00000000-0005-0000-0000-000004000000}"/>
    <cellStyle name="Normal 4 4" xfId="5" xr:uid="{00000000-0005-0000-0000-000005000000}"/>
    <cellStyle name="Normal_CO99a Public Information" xfId="3" xr:uid="{00000000-0005-0000-0000-000006000000}"/>
    <cellStyle name="Normal_Codes" xfId="4" xr:uid="{00000000-0005-0000-0000-000007000000}"/>
    <cellStyle name="Normal_open" xfId="2" xr:uid="{00000000-0005-0000-0000-000008000000}"/>
  </cellStyles>
  <dxfs count="0"/>
  <tableStyles count="0" defaultTableStyle="TableStyleMedium2" defaultPivotStyle="PivotStyleLight16"/>
  <colors>
    <mruColors>
      <color rgb="FF005587"/>
      <color rgb="FF12284C"/>
      <color rgb="FFD50032"/>
      <color rgb="FF00B796"/>
      <color rgb="FFC2C4C6"/>
      <color rgb="FFB7312C"/>
      <color rgb="FF008269"/>
      <color rgb="FF53565A"/>
      <color rgb="FF383A3C"/>
      <color rgb="FFF7DE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charts/_rels/chart1.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10.xml.rels><?xml version="1.0" encoding="UTF-8" standalone="yes"?>
<Relationships xmlns="http://schemas.openxmlformats.org/package/2006/relationships"><Relationship Id="rId1" Type="http://schemas.openxmlformats.org/officeDocument/2006/relationships/themeOverride" Target="../theme/themeOverride10.xml"/></Relationships>
</file>

<file path=xl/charts/_rels/chart11.xml.rels><?xml version="1.0" encoding="UTF-8" standalone="yes"?>
<Relationships xmlns="http://schemas.openxmlformats.org/package/2006/relationships"><Relationship Id="rId1" Type="http://schemas.openxmlformats.org/officeDocument/2006/relationships/themeOverride" Target="../theme/themeOverride11.xml"/></Relationships>
</file>

<file path=xl/charts/_rels/chart12.xml.rels><?xml version="1.0" encoding="UTF-8" standalone="yes"?>
<Relationships xmlns="http://schemas.openxmlformats.org/package/2006/relationships"><Relationship Id="rId1" Type="http://schemas.openxmlformats.org/officeDocument/2006/relationships/themeOverride" Target="../theme/themeOverride12.xml"/></Relationships>
</file>

<file path=xl/charts/_rels/chart13.xml.rels><?xml version="1.0" encoding="UTF-8" standalone="yes"?>
<Relationships xmlns="http://schemas.openxmlformats.org/package/2006/relationships"><Relationship Id="rId1" Type="http://schemas.openxmlformats.org/officeDocument/2006/relationships/themeOverride" Target="../theme/themeOverride13.xml"/></Relationships>
</file>

<file path=xl/charts/_rels/chart14.xml.rels><?xml version="1.0" encoding="UTF-8" standalone="yes"?>
<Relationships xmlns="http://schemas.openxmlformats.org/package/2006/relationships"><Relationship Id="rId1" Type="http://schemas.openxmlformats.org/officeDocument/2006/relationships/themeOverride" Target="../theme/themeOverride14.xml"/></Relationships>
</file>

<file path=xl/charts/_rels/chart15.xml.rels><?xml version="1.0" encoding="UTF-8" standalone="yes"?>
<Relationships xmlns="http://schemas.openxmlformats.org/package/2006/relationships"><Relationship Id="rId1" Type="http://schemas.openxmlformats.org/officeDocument/2006/relationships/themeOverride" Target="../theme/themeOverride15.xml"/></Relationships>
</file>

<file path=xl/charts/_rels/chart16.xml.rels><?xml version="1.0" encoding="UTF-8" standalone="yes"?>
<Relationships xmlns="http://schemas.openxmlformats.org/package/2006/relationships"><Relationship Id="rId1" Type="http://schemas.openxmlformats.org/officeDocument/2006/relationships/themeOverride" Target="../theme/themeOverride16.xml"/></Relationships>
</file>

<file path=xl/charts/_rels/chart17.xml.rels><?xml version="1.0" encoding="UTF-8" standalone="yes"?>
<Relationships xmlns="http://schemas.openxmlformats.org/package/2006/relationships"><Relationship Id="rId1" Type="http://schemas.openxmlformats.org/officeDocument/2006/relationships/themeOverride" Target="../theme/themeOverride17.xml"/></Relationships>
</file>

<file path=xl/charts/_rels/chart18.xml.rels><?xml version="1.0" encoding="UTF-8" standalone="yes"?>
<Relationships xmlns="http://schemas.openxmlformats.org/package/2006/relationships"><Relationship Id="rId1" Type="http://schemas.openxmlformats.org/officeDocument/2006/relationships/themeOverride" Target="../theme/themeOverride18.xml"/></Relationships>
</file>

<file path=xl/charts/_rels/chart19.xml.rels><?xml version="1.0" encoding="UTF-8" standalone="yes"?>
<Relationships xmlns="http://schemas.openxmlformats.org/package/2006/relationships"><Relationship Id="rId1" Type="http://schemas.openxmlformats.org/officeDocument/2006/relationships/themeOverride" Target="../theme/themeOverride19.xml"/></Relationships>
</file>

<file path=xl/charts/_rels/chart2.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_rels/chart20.xml.rels><?xml version="1.0" encoding="UTF-8" standalone="yes"?>
<Relationships xmlns="http://schemas.openxmlformats.org/package/2006/relationships"><Relationship Id="rId1" Type="http://schemas.openxmlformats.org/officeDocument/2006/relationships/themeOverride" Target="../theme/themeOverride20.xml"/></Relationships>
</file>

<file path=xl/charts/_rels/chart21.xml.rels><?xml version="1.0" encoding="UTF-8" standalone="yes"?>
<Relationships xmlns="http://schemas.openxmlformats.org/package/2006/relationships"><Relationship Id="rId1" Type="http://schemas.openxmlformats.org/officeDocument/2006/relationships/themeOverride" Target="../theme/themeOverride21.xml"/></Relationships>
</file>

<file path=xl/charts/_rels/chart22.xml.rels><?xml version="1.0" encoding="UTF-8" standalone="yes"?>
<Relationships xmlns="http://schemas.openxmlformats.org/package/2006/relationships"><Relationship Id="rId1" Type="http://schemas.openxmlformats.org/officeDocument/2006/relationships/themeOverride" Target="../theme/themeOverride22.xml"/></Relationships>
</file>

<file path=xl/charts/_rels/chart23.xml.rels><?xml version="1.0" encoding="UTF-8" standalone="yes"?>
<Relationships xmlns="http://schemas.openxmlformats.org/package/2006/relationships"><Relationship Id="rId1" Type="http://schemas.openxmlformats.org/officeDocument/2006/relationships/themeOverride" Target="../theme/themeOverride23.xml"/></Relationships>
</file>

<file path=xl/charts/_rels/chart24.xml.rels><?xml version="1.0" encoding="UTF-8" standalone="yes"?>
<Relationships xmlns="http://schemas.openxmlformats.org/package/2006/relationships"><Relationship Id="rId1" Type="http://schemas.openxmlformats.org/officeDocument/2006/relationships/themeOverride" Target="../theme/themeOverride24.xml"/></Relationships>
</file>

<file path=xl/charts/_rels/chart25.xml.rels><?xml version="1.0" encoding="UTF-8" standalone="yes"?>
<Relationships xmlns="http://schemas.openxmlformats.org/package/2006/relationships"><Relationship Id="rId1" Type="http://schemas.openxmlformats.org/officeDocument/2006/relationships/themeOverride" Target="../theme/themeOverride25.xml"/></Relationships>
</file>

<file path=xl/charts/_rels/chart26.xml.rels><?xml version="1.0" encoding="UTF-8" standalone="yes"?>
<Relationships xmlns="http://schemas.openxmlformats.org/package/2006/relationships"><Relationship Id="rId1" Type="http://schemas.openxmlformats.org/officeDocument/2006/relationships/themeOverride" Target="../theme/themeOverride26.xml"/></Relationships>
</file>

<file path=xl/charts/_rels/chart27.xml.rels><?xml version="1.0" encoding="UTF-8" standalone="yes"?>
<Relationships xmlns="http://schemas.openxmlformats.org/package/2006/relationships"><Relationship Id="rId1" Type="http://schemas.openxmlformats.org/officeDocument/2006/relationships/themeOverride" Target="../theme/themeOverride27.xml"/></Relationships>
</file>

<file path=xl/charts/_rels/chart28.xml.rels><?xml version="1.0" encoding="UTF-8" standalone="yes"?>
<Relationships xmlns="http://schemas.openxmlformats.org/package/2006/relationships"><Relationship Id="rId1" Type="http://schemas.openxmlformats.org/officeDocument/2006/relationships/themeOverride" Target="../theme/themeOverride28.xml"/></Relationships>
</file>

<file path=xl/charts/_rels/chart29.xml.rels><?xml version="1.0" encoding="UTF-8" standalone="yes"?>
<Relationships xmlns="http://schemas.openxmlformats.org/package/2006/relationships"><Relationship Id="rId1" Type="http://schemas.openxmlformats.org/officeDocument/2006/relationships/themeOverride" Target="../theme/themeOverride29.xml"/></Relationships>
</file>

<file path=xl/charts/_rels/chart3.xml.rels><?xml version="1.0" encoding="UTF-8" standalone="yes"?>
<Relationships xmlns="http://schemas.openxmlformats.org/package/2006/relationships"><Relationship Id="rId1" Type="http://schemas.openxmlformats.org/officeDocument/2006/relationships/themeOverride" Target="../theme/themeOverride3.xml"/></Relationships>
</file>

<file path=xl/charts/_rels/chart30.xml.rels><?xml version="1.0" encoding="UTF-8" standalone="yes"?>
<Relationships xmlns="http://schemas.openxmlformats.org/package/2006/relationships"><Relationship Id="rId1" Type="http://schemas.openxmlformats.org/officeDocument/2006/relationships/themeOverride" Target="../theme/themeOverride30.xml"/></Relationships>
</file>

<file path=xl/charts/_rels/chart31.xml.rels><?xml version="1.0" encoding="UTF-8" standalone="yes"?>
<Relationships xmlns="http://schemas.openxmlformats.org/package/2006/relationships"><Relationship Id="rId1" Type="http://schemas.openxmlformats.org/officeDocument/2006/relationships/themeOverride" Target="../theme/themeOverride31.xml"/></Relationships>
</file>

<file path=xl/charts/_rels/chart32.xml.rels><?xml version="1.0" encoding="UTF-8" standalone="yes"?>
<Relationships xmlns="http://schemas.openxmlformats.org/package/2006/relationships"><Relationship Id="rId1" Type="http://schemas.openxmlformats.org/officeDocument/2006/relationships/themeOverride" Target="../theme/themeOverride32.xml"/></Relationships>
</file>

<file path=xl/charts/_rels/chart33.xml.rels><?xml version="1.0" encoding="UTF-8" standalone="yes"?>
<Relationships xmlns="http://schemas.openxmlformats.org/package/2006/relationships"><Relationship Id="rId1" Type="http://schemas.openxmlformats.org/officeDocument/2006/relationships/themeOverride" Target="../theme/themeOverride33.xml"/></Relationships>
</file>

<file path=xl/charts/_rels/chart34.xml.rels><?xml version="1.0" encoding="UTF-8" standalone="yes"?>
<Relationships xmlns="http://schemas.openxmlformats.org/package/2006/relationships"><Relationship Id="rId1" Type="http://schemas.openxmlformats.org/officeDocument/2006/relationships/themeOverride" Target="../theme/themeOverride34.xml"/></Relationships>
</file>

<file path=xl/charts/_rels/chart35.xml.rels><?xml version="1.0" encoding="UTF-8" standalone="yes"?>
<Relationships xmlns="http://schemas.openxmlformats.org/package/2006/relationships"><Relationship Id="rId1" Type="http://schemas.openxmlformats.org/officeDocument/2006/relationships/themeOverride" Target="../theme/themeOverride35.xml"/></Relationships>
</file>

<file path=xl/charts/_rels/chart36.xml.rels><?xml version="1.0" encoding="UTF-8" standalone="yes"?>
<Relationships xmlns="http://schemas.openxmlformats.org/package/2006/relationships"><Relationship Id="rId1" Type="http://schemas.openxmlformats.org/officeDocument/2006/relationships/themeOverride" Target="../theme/themeOverride36.xml"/></Relationships>
</file>

<file path=xl/charts/_rels/chart37.xml.rels><?xml version="1.0" encoding="UTF-8" standalone="yes"?>
<Relationships xmlns="http://schemas.openxmlformats.org/package/2006/relationships"><Relationship Id="rId1" Type="http://schemas.openxmlformats.org/officeDocument/2006/relationships/themeOverride" Target="../theme/themeOverride37.xml"/></Relationships>
</file>

<file path=xl/charts/_rels/chart38.xml.rels><?xml version="1.0" encoding="UTF-8" standalone="yes"?>
<Relationships xmlns="http://schemas.openxmlformats.org/package/2006/relationships"><Relationship Id="rId1" Type="http://schemas.openxmlformats.org/officeDocument/2006/relationships/themeOverride" Target="../theme/themeOverride38.xml"/></Relationships>
</file>

<file path=xl/charts/_rels/chart39.xml.rels><?xml version="1.0" encoding="UTF-8" standalone="yes"?>
<Relationships xmlns="http://schemas.openxmlformats.org/package/2006/relationships"><Relationship Id="rId1" Type="http://schemas.openxmlformats.org/officeDocument/2006/relationships/themeOverride" Target="../theme/themeOverride39.xml"/></Relationships>
</file>

<file path=xl/charts/_rels/chart4.xml.rels><?xml version="1.0" encoding="UTF-8" standalone="yes"?>
<Relationships xmlns="http://schemas.openxmlformats.org/package/2006/relationships"><Relationship Id="rId1" Type="http://schemas.openxmlformats.org/officeDocument/2006/relationships/themeOverride" Target="../theme/themeOverride4.xml"/></Relationships>
</file>

<file path=xl/charts/_rels/chart40.xml.rels><?xml version="1.0" encoding="UTF-8" standalone="yes"?>
<Relationships xmlns="http://schemas.openxmlformats.org/package/2006/relationships"><Relationship Id="rId1" Type="http://schemas.openxmlformats.org/officeDocument/2006/relationships/themeOverride" Target="../theme/themeOverride40.xml"/></Relationships>
</file>

<file path=xl/charts/_rels/chart41.xml.rels><?xml version="1.0" encoding="UTF-8" standalone="yes"?>
<Relationships xmlns="http://schemas.openxmlformats.org/package/2006/relationships"><Relationship Id="rId1" Type="http://schemas.openxmlformats.org/officeDocument/2006/relationships/themeOverride" Target="../theme/themeOverride41.xml"/></Relationships>
</file>

<file path=xl/charts/_rels/chart42.xml.rels><?xml version="1.0" encoding="UTF-8" standalone="yes"?>
<Relationships xmlns="http://schemas.openxmlformats.org/package/2006/relationships"><Relationship Id="rId1" Type="http://schemas.openxmlformats.org/officeDocument/2006/relationships/themeOverride" Target="../theme/themeOverride42.xml"/></Relationships>
</file>

<file path=xl/charts/_rels/chart43.xml.rels><?xml version="1.0" encoding="UTF-8" standalone="yes"?>
<Relationships xmlns="http://schemas.openxmlformats.org/package/2006/relationships"><Relationship Id="rId1" Type="http://schemas.openxmlformats.org/officeDocument/2006/relationships/themeOverride" Target="../theme/themeOverride43.xml"/></Relationships>
</file>

<file path=xl/charts/_rels/chart44.xml.rels><?xml version="1.0" encoding="UTF-8" standalone="yes"?>
<Relationships xmlns="http://schemas.openxmlformats.org/package/2006/relationships"><Relationship Id="rId1" Type="http://schemas.openxmlformats.org/officeDocument/2006/relationships/themeOverride" Target="../theme/themeOverride44.xml"/></Relationships>
</file>

<file path=xl/charts/_rels/chart45.xml.rels><?xml version="1.0" encoding="UTF-8" standalone="yes"?>
<Relationships xmlns="http://schemas.openxmlformats.org/package/2006/relationships"><Relationship Id="rId1" Type="http://schemas.openxmlformats.org/officeDocument/2006/relationships/themeOverride" Target="../theme/themeOverride45.xml"/></Relationships>
</file>

<file path=xl/charts/_rels/chart46.xml.rels><?xml version="1.0" encoding="UTF-8" standalone="yes"?>
<Relationships xmlns="http://schemas.openxmlformats.org/package/2006/relationships"><Relationship Id="rId1" Type="http://schemas.openxmlformats.org/officeDocument/2006/relationships/themeOverride" Target="../theme/themeOverride46.xml"/></Relationships>
</file>

<file path=xl/charts/_rels/chart47.xml.rels><?xml version="1.0" encoding="UTF-8" standalone="yes"?>
<Relationships xmlns="http://schemas.openxmlformats.org/package/2006/relationships"><Relationship Id="rId1" Type="http://schemas.openxmlformats.org/officeDocument/2006/relationships/themeOverride" Target="../theme/themeOverride47.xml"/></Relationships>
</file>

<file path=xl/charts/_rels/chart48.xml.rels><?xml version="1.0" encoding="UTF-8" standalone="yes"?>
<Relationships xmlns="http://schemas.openxmlformats.org/package/2006/relationships"><Relationship Id="rId1" Type="http://schemas.openxmlformats.org/officeDocument/2006/relationships/themeOverride" Target="../theme/themeOverride48.xml"/></Relationships>
</file>

<file path=xl/charts/_rels/chart49.xml.rels><?xml version="1.0" encoding="UTF-8" standalone="yes"?>
<Relationships xmlns="http://schemas.openxmlformats.org/package/2006/relationships"><Relationship Id="rId1" Type="http://schemas.openxmlformats.org/officeDocument/2006/relationships/themeOverride" Target="../theme/themeOverride49.xml"/></Relationships>
</file>

<file path=xl/charts/_rels/chart5.xml.rels><?xml version="1.0" encoding="UTF-8" standalone="yes"?>
<Relationships xmlns="http://schemas.openxmlformats.org/package/2006/relationships"><Relationship Id="rId1" Type="http://schemas.openxmlformats.org/officeDocument/2006/relationships/themeOverride" Target="../theme/themeOverride5.xml"/></Relationships>
</file>

<file path=xl/charts/_rels/chart50.xml.rels><?xml version="1.0" encoding="UTF-8" standalone="yes"?>
<Relationships xmlns="http://schemas.openxmlformats.org/package/2006/relationships"><Relationship Id="rId1" Type="http://schemas.openxmlformats.org/officeDocument/2006/relationships/themeOverride" Target="../theme/themeOverride50.xml"/></Relationships>
</file>

<file path=xl/charts/_rels/chart51.xml.rels><?xml version="1.0" encoding="UTF-8" standalone="yes"?>
<Relationships xmlns="http://schemas.openxmlformats.org/package/2006/relationships"><Relationship Id="rId1" Type="http://schemas.openxmlformats.org/officeDocument/2006/relationships/themeOverride" Target="../theme/themeOverride51.xml"/></Relationships>
</file>

<file path=xl/charts/_rels/chart52.xml.rels><?xml version="1.0" encoding="UTF-8" standalone="yes"?>
<Relationships xmlns="http://schemas.openxmlformats.org/package/2006/relationships"><Relationship Id="rId1" Type="http://schemas.openxmlformats.org/officeDocument/2006/relationships/themeOverride" Target="../theme/themeOverride52.xml"/></Relationships>
</file>

<file path=xl/charts/_rels/chart53.xml.rels><?xml version="1.0" encoding="UTF-8" standalone="yes"?>
<Relationships xmlns="http://schemas.openxmlformats.org/package/2006/relationships"><Relationship Id="rId1" Type="http://schemas.openxmlformats.org/officeDocument/2006/relationships/themeOverride" Target="../theme/themeOverride53.xml"/></Relationships>
</file>

<file path=xl/charts/_rels/chart54.xml.rels><?xml version="1.0" encoding="UTF-8" standalone="yes"?>
<Relationships xmlns="http://schemas.openxmlformats.org/package/2006/relationships"><Relationship Id="rId1" Type="http://schemas.openxmlformats.org/officeDocument/2006/relationships/themeOverride" Target="../theme/themeOverride54.xml"/></Relationships>
</file>

<file path=xl/charts/_rels/chart55.xml.rels><?xml version="1.0" encoding="UTF-8" standalone="yes"?>
<Relationships xmlns="http://schemas.openxmlformats.org/package/2006/relationships"><Relationship Id="rId1" Type="http://schemas.openxmlformats.org/officeDocument/2006/relationships/themeOverride" Target="../theme/themeOverride55.xml"/></Relationships>
</file>

<file path=xl/charts/_rels/chart56.xml.rels><?xml version="1.0" encoding="UTF-8" standalone="yes"?>
<Relationships xmlns="http://schemas.openxmlformats.org/package/2006/relationships"><Relationship Id="rId1" Type="http://schemas.openxmlformats.org/officeDocument/2006/relationships/themeOverride" Target="../theme/themeOverride56.xml"/></Relationships>
</file>

<file path=xl/charts/_rels/chart6.xml.rels><?xml version="1.0" encoding="UTF-8" standalone="yes"?>
<Relationships xmlns="http://schemas.openxmlformats.org/package/2006/relationships"><Relationship Id="rId1" Type="http://schemas.openxmlformats.org/officeDocument/2006/relationships/themeOverride" Target="../theme/themeOverride6.xml"/></Relationships>
</file>

<file path=xl/charts/_rels/chart7.xml.rels><?xml version="1.0" encoding="UTF-8" standalone="yes"?>
<Relationships xmlns="http://schemas.openxmlformats.org/package/2006/relationships"><Relationship Id="rId1" Type="http://schemas.openxmlformats.org/officeDocument/2006/relationships/themeOverride" Target="../theme/themeOverride7.xml"/></Relationships>
</file>

<file path=xl/charts/_rels/chart8.xml.rels><?xml version="1.0" encoding="UTF-8" standalone="yes"?>
<Relationships xmlns="http://schemas.openxmlformats.org/package/2006/relationships"><Relationship Id="rId1" Type="http://schemas.openxmlformats.org/officeDocument/2006/relationships/themeOverride" Target="../theme/themeOverride8.xml"/></Relationships>
</file>

<file path=xl/charts/_rels/chart9.xml.rels><?xml version="1.0" encoding="UTF-8" standalone="yes"?>
<Relationships xmlns="http://schemas.openxmlformats.org/package/2006/relationships"><Relationship Id="rId1" Type="http://schemas.openxmlformats.org/officeDocument/2006/relationships/themeOverride" Target="../theme/themeOverrid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34"/>
    </mc:Choice>
    <mc:Fallback>
      <c:style val="34"/>
    </mc:Fallback>
  </mc:AlternateContent>
  <c:clrMapOvr bg1="lt1" tx1="dk1" bg2="lt2" tx2="dk2" accent1="accent1" accent2="accent2" accent3="accent3" accent4="accent4" accent5="accent5" accent6="accent6" hlink="hlink" folHlink="folHlink"/>
  <c:chart>
    <c:title>
      <c:tx>
        <c:rich>
          <a:bodyPr/>
          <a:lstStyle/>
          <a:p>
            <a:pPr>
              <a:defRPr sz="1400" b="0">
                <a:solidFill>
                  <a:srgbClr val="00B796"/>
                </a:solidFill>
                <a:latin typeface="Open Sans Semibold" panose="020B0706030804020204" pitchFamily="34" charset="0"/>
                <a:ea typeface="Open Sans Semibold" panose="020B0706030804020204" pitchFamily="34" charset="0"/>
                <a:cs typeface="Open Sans Semibold" panose="020B0706030804020204" pitchFamily="34" charset="0"/>
              </a:defRPr>
            </a:pPr>
            <a:r>
              <a:rPr lang="en-US">
                <a:solidFill>
                  <a:srgbClr val="B7312C"/>
                </a:solidFill>
                <a:latin typeface="Arial" panose="020B0604020202020204" pitchFamily="34" charset="0"/>
                <a:ea typeface="Open Sans Semibold" panose="020B0706030804020204" pitchFamily="34" charset="0"/>
                <a:cs typeface="Arial" panose="020B0604020202020204" pitchFamily="34" charset="0"/>
              </a:rPr>
              <a:t>Summary of Total Expenditures by Function (All Funds)</a:t>
            </a:r>
          </a:p>
        </c:rich>
      </c:tx>
      <c:overlay val="0"/>
    </c:title>
    <c:autoTitleDeleted val="0"/>
    <c:view3D>
      <c:rotX val="15"/>
      <c:rotY val="20"/>
      <c:depthPercent val="100"/>
      <c:rAngAx val="1"/>
    </c:view3D>
    <c:floor>
      <c:thickness val="0"/>
      <c:spPr>
        <a:gradFill flip="none" rotWithShape="1">
          <a:gsLst>
            <a:gs pos="0">
              <a:srgbClr val="12284C">
                <a:lumMod val="5000"/>
                <a:lumOff val="95000"/>
              </a:srgbClr>
            </a:gs>
            <a:gs pos="74000">
              <a:srgbClr val="12284C">
                <a:lumMod val="45000"/>
                <a:lumOff val="55000"/>
              </a:srgbClr>
            </a:gs>
            <a:gs pos="83000">
              <a:srgbClr val="12284C">
                <a:lumMod val="45000"/>
                <a:lumOff val="55000"/>
              </a:srgbClr>
            </a:gs>
            <a:gs pos="100000">
              <a:srgbClr val="12284C">
                <a:lumMod val="30000"/>
                <a:lumOff val="70000"/>
              </a:srgbClr>
            </a:gs>
          </a:gsLst>
          <a:path path="circle">
            <a:fillToRect l="100000" t="100000"/>
          </a:path>
          <a:tileRect r="-100000" b="-100000"/>
        </a:gradFill>
        <a:ln>
          <a:solidFill>
            <a:srgbClr val="12284C"/>
          </a:solidFill>
        </a:ln>
      </c:spPr>
    </c:floor>
    <c:sideWall>
      <c:thickness val="0"/>
      <c:spPr>
        <a:gradFill flip="none" rotWithShape="1">
          <a:gsLst>
            <a:gs pos="0">
              <a:srgbClr val="12284C">
                <a:lumMod val="5000"/>
                <a:lumOff val="95000"/>
              </a:srgbClr>
            </a:gs>
            <a:gs pos="74000">
              <a:srgbClr val="12284C">
                <a:lumMod val="45000"/>
                <a:lumOff val="55000"/>
              </a:srgbClr>
            </a:gs>
            <a:gs pos="83000">
              <a:srgbClr val="12284C">
                <a:lumMod val="45000"/>
                <a:lumOff val="55000"/>
              </a:srgbClr>
            </a:gs>
            <a:gs pos="100000">
              <a:srgbClr val="12284C">
                <a:lumMod val="30000"/>
                <a:lumOff val="70000"/>
              </a:srgbClr>
            </a:gs>
          </a:gsLst>
          <a:path path="circle">
            <a:fillToRect l="100000" t="100000"/>
          </a:path>
          <a:tileRect r="-100000" b="-100000"/>
        </a:gradFill>
        <a:ln>
          <a:solidFill>
            <a:srgbClr val="12284C"/>
          </a:solidFill>
        </a:ln>
      </c:spPr>
    </c:sideWall>
    <c:backWall>
      <c:thickness val="0"/>
      <c:spPr>
        <a:gradFill flip="none" rotWithShape="1">
          <a:gsLst>
            <a:gs pos="0">
              <a:srgbClr val="12284C">
                <a:lumMod val="5000"/>
                <a:lumOff val="95000"/>
              </a:srgbClr>
            </a:gs>
            <a:gs pos="74000">
              <a:srgbClr val="12284C">
                <a:lumMod val="45000"/>
                <a:lumOff val="55000"/>
              </a:srgbClr>
            </a:gs>
            <a:gs pos="83000">
              <a:srgbClr val="12284C">
                <a:lumMod val="45000"/>
                <a:lumOff val="55000"/>
              </a:srgbClr>
            </a:gs>
            <a:gs pos="100000">
              <a:srgbClr val="12284C">
                <a:lumMod val="30000"/>
                <a:lumOff val="70000"/>
              </a:srgbClr>
            </a:gs>
          </a:gsLst>
          <a:path path="circle">
            <a:fillToRect l="100000" t="100000"/>
          </a:path>
          <a:tileRect r="-100000" b="-100000"/>
        </a:gradFill>
        <a:ln>
          <a:solidFill>
            <a:srgbClr val="12284C"/>
          </a:solidFill>
        </a:ln>
      </c:spPr>
    </c:backWall>
    <c:plotArea>
      <c:layout>
        <c:manualLayout>
          <c:layoutTarget val="inner"/>
          <c:xMode val="edge"/>
          <c:yMode val="edge"/>
          <c:x val="7.2835046345621199E-2"/>
          <c:y val="0.14539610444977827"/>
          <c:w val="0.82797458008469327"/>
          <c:h val="0.54223675207809519"/>
        </c:manualLayout>
      </c:layout>
      <c:bar3DChart>
        <c:barDir val="col"/>
        <c:grouping val="clustered"/>
        <c:varyColors val="0"/>
        <c:ser>
          <c:idx val="0"/>
          <c:order val="0"/>
          <c:tx>
            <c:strRef>
              <c:f>SUMEXPEN!$P$31</c:f>
              <c:strCache>
                <c:ptCount val="1"/>
                <c:pt idx="0">
                  <c:v>2023-2024</c:v>
                </c:pt>
              </c:strCache>
            </c:strRef>
          </c:tx>
          <c:spPr>
            <a:solidFill>
              <a:srgbClr val="FFA400"/>
            </a:solidFill>
            <a:ln>
              <a:solidFill>
                <a:srgbClr val="D28700"/>
              </a:solidFill>
            </a:ln>
          </c:spPr>
          <c:invertIfNegative val="0"/>
          <c:dLbls>
            <c:dLbl>
              <c:idx val="0"/>
              <c:layout>
                <c:manualLayout>
                  <c:x val="-2.7293364173900086E-3"/>
                  <c:y val="-8.1510395156591517E-2"/>
                </c:manualLayout>
              </c:layout>
              <c:spPr>
                <a:noFill/>
                <a:ln>
                  <a:noFill/>
                </a:ln>
                <a:effectLst/>
              </c:spPr>
              <c:txPr>
                <a:bodyPr rot="-5400000" vertOverflow="clip" horzOverflow="clip" vert="horz" wrap="square" lIns="0" tIns="0" rIns="0" bIns="0" numCol="1" spcCol="0" anchor="ctr" anchorCtr="0">
                  <a:noAutofit/>
                </a:bodyPr>
                <a:lstStyle/>
                <a:p>
                  <a:pPr algn="l">
                    <a:defRPr sz="900">
                      <a:latin typeface="Arial" panose="020B0604020202020204" pitchFamily="34" charset="0"/>
                      <a:ea typeface="Open Sans Light" panose="020B0306030504020204" pitchFamily="34" charset="0"/>
                      <a:cs typeface="Arial" panose="020B0604020202020204" pitchFamily="34" charset="0"/>
                    </a:defRPr>
                  </a:pPr>
                  <a:endParaRPr lang="en-US"/>
                </a:p>
              </c:txPr>
              <c:showLegendKey val="0"/>
              <c:showVal val="1"/>
              <c:showCatName val="0"/>
              <c:showSerName val="0"/>
              <c:showPercent val="0"/>
              <c:showBubbleSize val="0"/>
              <c:extLst>
                <c:ext xmlns:c15="http://schemas.microsoft.com/office/drawing/2012/chart" uri="{CE6537A1-D6FC-4f65-9D91-7224C49458BB}">
                  <c15:layout>
                    <c:manualLayout>
                      <c:w val="8.2231374097685078E-2"/>
                      <c:h val="6.763604785366191E-2"/>
                    </c:manualLayout>
                  </c15:layout>
                </c:ext>
                <c:ext xmlns:c16="http://schemas.microsoft.com/office/drawing/2014/chart" uri="{C3380CC4-5D6E-409C-BE32-E72D297353CC}">
                  <c16:uniqueId val="{00000000-8A83-4DA7-9913-C7DA935F625B}"/>
                </c:ext>
              </c:extLst>
            </c:dLbl>
            <c:spPr>
              <a:noFill/>
              <a:ln>
                <a:noFill/>
              </a:ln>
              <a:effectLst/>
            </c:spPr>
            <c:txPr>
              <a:bodyPr rot="-5400000" vertOverflow="clip" horzOverflow="clip" vert="horz" wrap="square" lIns="0" tIns="0" rIns="0" bIns="0" numCol="1" spcCol="0" anchor="ctr" anchorCtr="0">
                <a:spAutoFit/>
              </a:bodyPr>
              <a:lstStyle/>
              <a:p>
                <a:pPr algn="l">
                  <a:defRPr sz="900">
                    <a:latin typeface="Arial" panose="020B0604020202020204" pitchFamily="34" charset="0"/>
                    <a:ea typeface="Open Sans Light" panose="020B0306030504020204" pitchFamily="34" charset="0"/>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cat>
            <c:strRef>
              <c:f>SUMEXPEN!$O$32:$O$41</c:f>
              <c:strCache>
                <c:ptCount val="10"/>
                <c:pt idx="0">
                  <c:v>Instruction</c:v>
                </c:pt>
                <c:pt idx="1">
                  <c:v>Student Support Services</c:v>
                </c:pt>
                <c:pt idx="2">
                  <c:v>Instructional Support Services</c:v>
                </c:pt>
                <c:pt idx="3">
                  <c:v>Administration &amp; Support</c:v>
                </c:pt>
                <c:pt idx="4">
                  <c:v>Operations &amp; Maintenance</c:v>
                </c:pt>
                <c:pt idx="5">
                  <c:v>Transportation</c:v>
                </c:pt>
                <c:pt idx="6">
                  <c:v>Food Services</c:v>
                </c:pt>
                <c:pt idx="7">
                  <c:v>Capital Improvements</c:v>
                </c:pt>
                <c:pt idx="8">
                  <c:v>Debt Services</c:v>
                </c:pt>
                <c:pt idx="9">
                  <c:v>Other Costs</c:v>
                </c:pt>
              </c:strCache>
            </c:strRef>
          </c:cat>
          <c:val>
            <c:numRef>
              <c:f>SUMEXPEN!$P$32:$P$41</c:f>
              <c:numCache>
                <c:formatCode>"$"#,##0</c:formatCode>
                <c:ptCount val="10"/>
                <c:pt idx="0">
                  <c:v>938685</c:v>
                </c:pt>
                <c:pt idx="1">
                  <c:v>2063</c:v>
                </c:pt>
                <c:pt idx="2">
                  <c:v>1258</c:v>
                </c:pt>
                <c:pt idx="3">
                  <c:v>256195</c:v>
                </c:pt>
                <c:pt idx="4">
                  <c:v>397475</c:v>
                </c:pt>
                <c:pt idx="5">
                  <c:v>54953</c:v>
                </c:pt>
                <c:pt idx="6">
                  <c:v>122157</c:v>
                </c:pt>
                <c:pt idx="7">
                  <c:v>39926</c:v>
                </c:pt>
                <c:pt idx="8">
                  <c:v>153725</c:v>
                </c:pt>
                <c:pt idx="9">
                  <c:v>7174</c:v>
                </c:pt>
              </c:numCache>
            </c:numRef>
          </c:val>
          <c:extLst>
            <c:ext xmlns:c16="http://schemas.microsoft.com/office/drawing/2014/chart" uri="{C3380CC4-5D6E-409C-BE32-E72D297353CC}">
              <c16:uniqueId val="{00000000-03ED-42F9-B639-8C83BB0EB494}"/>
            </c:ext>
          </c:extLst>
        </c:ser>
        <c:ser>
          <c:idx val="1"/>
          <c:order val="1"/>
          <c:tx>
            <c:strRef>
              <c:f>SUMEXPEN!$Q$31</c:f>
              <c:strCache>
                <c:ptCount val="1"/>
                <c:pt idx="0">
                  <c:v>2024-2025</c:v>
                </c:pt>
              </c:strCache>
            </c:strRef>
          </c:tx>
          <c:spPr>
            <a:solidFill>
              <a:srgbClr val="D50032"/>
            </a:solidFill>
            <a:ln>
              <a:solidFill>
                <a:srgbClr val="B7312C"/>
              </a:solidFill>
            </a:ln>
          </c:spPr>
          <c:invertIfNegative val="0"/>
          <c:dLbls>
            <c:dLbl>
              <c:idx val="0"/>
              <c:layout>
                <c:manualLayout>
                  <c:x val="5.3729210153746133E-8"/>
                  <c:y val="-9.2142185829190371E-2"/>
                </c:manualLayout>
              </c:layout>
              <c:spPr>
                <a:noFill/>
                <a:ln>
                  <a:noFill/>
                </a:ln>
                <a:effectLst/>
              </c:spPr>
              <c:txPr>
                <a:bodyPr rot="-5400000" vertOverflow="clip" horzOverflow="clip" vert="horz" wrap="square" lIns="38100" tIns="19050" rIns="38100" bIns="19050" anchor="ctr" anchorCtr="0">
                  <a:noAutofit/>
                </a:bodyPr>
                <a:lstStyle/>
                <a:p>
                  <a:pPr algn="l">
                    <a:defRPr sz="900">
                      <a:latin typeface="Arial" panose="020B0604020202020204" pitchFamily="34" charset="0"/>
                      <a:ea typeface="Open Sans Light" panose="020B0306030504020204" pitchFamily="34" charset="0"/>
                      <a:cs typeface="Arial" panose="020B0604020202020204" pitchFamily="34" charset="0"/>
                    </a:defRPr>
                  </a:pPr>
                  <a:endParaRPr lang="en-US"/>
                </a:p>
              </c:txPr>
              <c:showLegendKey val="0"/>
              <c:showVal val="1"/>
              <c:showCatName val="0"/>
              <c:showSerName val="0"/>
              <c:showPercent val="0"/>
              <c:showBubbleSize val="0"/>
              <c:extLst>
                <c:ext xmlns:c15="http://schemas.microsoft.com/office/drawing/2012/chart" uri="{CE6537A1-D6FC-4f65-9D91-7224C49458BB}">
                  <c15:layout>
                    <c:manualLayout>
                      <c:w val="9.3149149600926281E-2"/>
                      <c:h val="5.346032695686339E-2"/>
                    </c:manualLayout>
                  </c15:layout>
                </c:ext>
                <c:ext xmlns:c16="http://schemas.microsoft.com/office/drawing/2014/chart" uri="{C3380CC4-5D6E-409C-BE32-E72D297353CC}">
                  <c16:uniqueId val="{00000001-8A83-4DA7-9913-C7DA935F625B}"/>
                </c:ext>
              </c:extLst>
            </c:dLbl>
            <c:spPr>
              <a:noFill/>
              <a:ln>
                <a:noFill/>
              </a:ln>
              <a:effectLst/>
            </c:spPr>
            <c:txPr>
              <a:bodyPr rot="-5400000" vertOverflow="clip" horzOverflow="clip" vert="horz" wrap="square" lIns="38100" tIns="19050" rIns="38100" bIns="19050" anchor="ctr" anchorCtr="0">
                <a:spAutoFit/>
              </a:bodyPr>
              <a:lstStyle/>
              <a:p>
                <a:pPr algn="l">
                  <a:defRPr sz="900">
                    <a:latin typeface="Arial" panose="020B0604020202020204" pitchFamily="34" charset="0"/>
                    <a:ea typeface="Open Sans Light" panose="020B0306030504020204" pitchFamily="34" charset="0"/>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SUMEXPEN!$O$32:$O$41</c:f>
              <c:strCache>
                <c:ptCount val="10"/>
                <c:pt idx="0">
                  <c:v>Instruction</c:v>
                </c:pt>
                <c:pt idx="1">
                  <c:v>Student Support Services</c:v>
                </c:pt>
                <c:pt idx="2">
                  <c:v>Instructional Support Services</c:v>
                </c:pt>
                <c:pt idx="3">
                  <c:v>Administration &amp; Support</c:v>
                </c:pt>
                <c:pt idx="4">
                  <c:v>Operations &amp; Maintenance</c:v>
                </c:pt>
                <c:pt idx="5">
                  <c:v>Transportation</c:v>
                </c:pt>
                <c:pt idx="6">
                  <c:v>Food Services</c:v>
                </c:pt>
                <c:pt idx="7">
                  <c:v>Capital Improvements</c:v>
                </c:pt>
                <c:pt idx="8">
                  <c:v>Debt Services</c:v>
                </c:pt>
                <c:pt idx="9">
                  <c:v>Other Costs</c:v>
                </c:pt>
              </c:strCache>
            </c:strRef>
          </c:cat>
          <c:val>
            <c:numRef>
              <c:f>SUMEXPEN!$Q$32:$Q$41</c:f>
              <c:numCache>
                <c:formatCode>"$"#,##0</c:formatCode>
                <c:ptCount val="10"/>
                <c:pt idx="0">
                  <c:v>1968697</c:v>
                </c:pt>
                <c:pt idx="1">
                  <c:v>267</c:v>
                </c:pt>
                <c:pt idx="2">
                  <c:v>240</c:v>
                </c:pt>
                <c:pt idx="3">
                  <c:v>263732</c:v>
                </c:pt>
                <c:pt idx="4">
                  <c:v>693565</c:v>
                </c:pt>
                <c:pt idx="5">
                  <c:v>58431</c:v>
                </c:pt>
                <c:pt idx="6">
                  <c:v>133439</c:v>
                </c:pt>
                <c:pt idx="7">
                  <c:v>0</c:v>
                </c:pt>
                <c:pt idx="8">
                  <c:v>154900</c:v>
                </c:pt>
                <c:pt idx="9">
                  <c:v>219</c:v>
                </c:pt>
              </c:numCache>
            </c:numRef>
          </c:val>
          <c:extLst>
            <c:ext xmlns:c16="http://schemas.microsoft.com/office/drawing/2014/chart" uri="{C3380CC4-5D6E-409C-BE32-E72D297353CC}">
              <c16:uniqueId val="{00000001-03ED-42F9-B639-8C83BB0EB494}"/>
            </c:ext>
          </c:extLst>
        </c:ser>
        <c:ser>
          <c:idx val="2"/>
          <c:order val="2"/>
          <c:tx>
            <c:strRef>
              <c:f>SUMEXPEN!$R$31</c:f>
              <c:strCache>
                <c:ptCount val="1"/>
                <c:pt idx="0">
                  <c:v>2025-2026</c:v>
                </c:pt>
              </c:strCache>
            </c:strRef>
          </c:tx>
          <c:spPr>
            <a:solidFill>
              <a:srgbClr val="00B796"/>
            </a:solidFill>
            <a:ln>
              <a:solidFill>
                <a:srgbClr val="008269"/>
              </a:solidFill>
            </a:ln>
          </c:spPr>
          <c:invertIfNegative val="0"/>
          <c:dLbls>
            <c:dLbl>
              <c:idx val="0"/>
              <c:layout>
                <c:manualLayout>
                  <c:x val="3.7037698779965739E-3"/>
                  <c:y val="2.9239458119876848E-3"/>
                </c:manualLayout>
              </c:layout>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2-3542-4363-8AC6-8E590374E724}"/>
                </c:ext>
              </c:extLst>
            </c:dLbl>
            <c:dLbl>
              <c:idx val="1"/>
              <c:layout>
                <c:manualLayout>
                  <c:x val="3.843501944714554E-3"/>
                  <c:y val="2.1330480127978724E-3"/>
                </c:manualLayout>
              </c:layout>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0-A29D-4297-829F-F2A4BB1D8268}"/>
                </c:ext>
              </c:extLst>
            </c:dLbl>
            <c:dLbl>
              <c:idx val="2"/>
              <c:layout>
                <c:manualLayout>
                  <c:x val="5.6487475897410164E-3"/>
                  <c:y val="-5.7825192695241242E-3"/>
                </c:manualLayout>
              </c:layout>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1-A29D-4297-829F-F2A4BB1D8268}"/>
                </c:ext>
              </c:extLst>
            </c:dLbl>
            <c:dLbl>
              <c:idx val="3"/>
              <c:layout>
                <c:manualLayout>
                  <c:x val="3.7968411209221118E-3"/>
                  <c:y val="-8.9265161116074219E-3"/>
                </c:manualLayout>
              </c:layout>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2-A29D-4297-829F-F2A4BB1D8268}"/>
                </c:ext>
              </c:extLst>
            </c:dLbl>
            <c:dLbl>
              <c:idx val="4"/>
              <c:layout>
                <c:manualLayout>
                  <c:x val="7.4853050888708927E-3"/>
                  <c:y val="2.0729899705447022E-3"/>
                </c:manualLayout>
              </c:layout>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3-A29D-4297-829F-F2A4BB1D8268}"/>
                </c:ext>
              </c:extLst>
            </c:dLbl>
            <c:dLbl>
              <c:idx val="5"/>
              <c:layout>
                <c:manualLayout>
                  <c:x val="7.0417653226110587E-3"/>
                  <c:y val="1.1675166830514897E-4"/>
                </c:manualLayout>
              </c:layout>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4-A29D-4297-829F-F2A4BB1D8268}"/>
                </c:ext>
              </c:extLst>
            </c:dLbl>
            <c:dLbl>
              <c:idx val="6"/>
              <c:layout>
                <c:manualLayout>
                  <c:x val="5.6487475897408794E-3"/>
                  <c:y val="-5.7825192695241242E-3"/>
                </c:manualLayout>
              </c:layout>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5-A29D-4297-829F-F2A4BB1D8268}"/>
                </c:ext>
              </c:extLst>
            </c:dLbl>
            <c:dLbl>
              <c:idx val="7"/>
              <c:layout>
                <c:manualLayout>
                  <c:x val="3.1199477752077306E-3"/>
                  <c:y val="-9.0172095484084124E-3"/>
                </c:manualLayout>
              </c:layout>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6-A29D-4297-829F-F2A4BB1D8268}"/>
                </c:ext>
              </c:extLst>
            </c:dLbl>
            <c:dLbl>
              <c:idx val="8"/>
              <c:layout>
                <c:manualLayout>
                  <c:x val="4.8750661540899014E-3"/>
                  <c:y val="-8.4211595516453883E-3"/>
                </c:manualLayout>
              </c:layout>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7-A29D-4297-829F-F2A4BB1D8268}"/>
                </c:ext>
              </c:extLst>
            </c:dLbl>
            <c:spPr>
              <a:noFill/>
              <a:ln>
                <a:noFill/>
              </a:ln>
              <a:effectLst/>
            </c:spPr>
            <c:txPr>
              <a:bodyPr rot="-5400000" vertOverflow="clip" horzOverflow="clip" vert="horz" wrap="square" lIns="38100" tIns="19050" rIns="38100" bIns="19050" anchor="ctr" anchorCtr="0">
                <a:spAutoFit/>
              </a:bodyPr>
              <a:lstStyle/>
              <a:p>
                <a:pPr algn="l">
                  <a:defRPr sz="900">
                    <a:latin typeface="Arial" panose="020B0604020202020204" pitchFamily="34" charset="0"/>
                    <a:ea typeface="Open Sans Light" panose="020B0306030504020204" pitchFamily="34" charset="0"/>
                    <a:cs typeface="Arial" panose="020B0604020202020204" pitchFamily="34" charset="0"/>
                  </a:defRPr>
                </a:pPr>
                <a:endParaRPr lang="en-US"/>
              </a:p>
            </c:txPr>
            <c:showLegendKey val="0"/>
            <c:showVal val="1"/>
            <c:showCatName val="0"/>
            <c:showSerName val="0"/>
            <c:showPercent val="0"/>
            <c:showBubbleSize val="0"/>
            <c:separator> </c:separator>
            <c:showLeaderLines val="0"/>
            <c:extLst>
              <c:ext xmlns:c15="http://schemas.microsoft.com/office/drawing/2012/chart" uri="{CE6537A1-D6FC-4f65-9D91-7224C49458BB}">
                <c15:showLeaderLines val="0"/>
              </c:ext>
            </c:extLst>
          </c:dLbls>
          <c:cat>
            <c:strRef>
              <c:f>SUMEXPEN!$O$32:$O$41</c:f>
              <c:strCache>
                <c:ptCount val="10"/>
                <c:pt idx="0">
                  <c:v>Instruction</c:v>
                </c:pt>
                <c:pt idx="1">
                  <c:v>Student Support Services</c:v>
                </c:pt>
                <c:pt idx="2">
                  <c:v>Instructional Support Services</c:v>
                </c:pt>
                <c:pt idx="3">
                  <c:v>Administration &amp; Support</c:v>
                </c:pt>
                <c:pt idx="4">
                  <c:v>Operations &amp; Maintenance</c:v>
                </c:pt>
                <c:pt idx="5">
                  <c:v>Transportation</c:v>
                </c:pt>
                <c:pt idx="6">
                  <c:v>Food Services</c:v>
                </c:pt>
                <c:pt idx="7">
                  <c:v>Capital Improvements</c:v>
                </c:pt>
                <c:pt idx="8">
                  <c:v>Debt Services</c:v>
                </c:pt>
                <c:pt idx="9">
                  <c:v>Other Costs</c:v>
                </c:pt>
              </c:strCache>
            </c:strRef>
          </c:cat>
          <c:val>
            <c:numRef>
              <c:f>SUMEXPEN!$R$32:$R$41</c:f>
              <c:numCache>
                <c:formatCode>"$"#,##0</c:formatCode>
                <c:ptCount val="10"/>
                <c:pt idx="0">
                  <c:v>1412804</c:v>
                </c:pt>
                <c:pt idx="1">
                  <c:v>0</c:v>
                </c:pt>
                <c:pt idx="2">
                  <c:v>100</c:v>
                </c:pt>
                <c:pt idx="3">
                  <c:v>266917</c:v>
                </c:pt>
                <c:pt idx="4">
                  <c:v>624676</c:v>
                </c:pt>
                <c:pt idx="5">
                  <c:v>191507</c:v>
                </c:pt>
                <c:pt idx="6">
                  <c:v>129500</c:v>
                </c:pt>
                <c:pt idx="7">
                  <c:v>25000</c:v>
                </c:pt>
                <c:pt idx="8">
                  <c:v>154900</c:v>
                </c:pt>
                <c:pt idx="9">
                  <c:v>0</c:v>
                </c:pt>
              </c:numCache>
            </c:numRef>
          </c:val>
          <c:extLst>
            <c:ext xmlns:c16="http://schemas.microsoft.com/office/drawing/2014/chart" uri="{C3380CC4-5D6E-409C-BE32-E72D297353CC}">
              <c16:uniqueId val="{00000002-03ED-42F9-B639-8C83BB0EB494}"/>
            </c:ext>
          </c:extLst>
        </c:ser>
        <c:dLbls>
          <c:showLegendKey val="0"/>
          <c:showVal val="1"/>
          <c:showCatName val="0"/>
          <c:showSerName val="0"/>
          <c:showPercent val="0"/>
          <c:showBubbleSize val="0"/>
        </c:dLbls>
        <c:gapWidth val="150"/>
        <c:shape val="box"/>
        <c:axId val="128185088"/>
        <c:axId val="128186624"/>
        <c:axId val="0"/>
      </c:bar3DChart>
      <c:catAx>
        <c:axId val="128185088"/>
        <c:scaling>
          <c:orientation val="minMax"/>
        </c:scaling>
        <c:delete val="0"/>
        <c:axPos val="b"/>
        <c:numFmt formatCode="General" sourceLinked="1"/>
        <c:majorTickMark val="none"/>
        <c:minorTickMark val="none"/>
        <c:tickLblPos val="nextTo"/>
        <c:spPr>
          <a:noFill/>
        </c:spPr>
        <c:txPr>
          <a:bodyPr rot="-1980000" anchor="t" anchorCtr="0"/>
          <a:lstStyle/>
          <a:p>
            <a:pPr>
              <a:defRPr sz="900" b="0" baseline="0">
                <a:solidFill>
                  <a:sysClr val="windowText" lastClr="000000"/>
                </a:solidFill>
                <a:latin typeface="Arial" panose="020B0604020202020204" pitchFamily="34" charset="0"/>
                <a:ea typeface="Open Sans" panose="020B0606030504020204" pitchFamily="34" charset="0"/>
                <a:cs typeface="Arial" panose="020B0604020202020204" pitchFamily="34" charset="0"/>
              </a:defRPr>
            </a:pPr>
            <a:endParaRPr lang="en-US"/>
          </a:p>
        </c:txPr>
        <c:crossAx val="128186624"/>
        <c:crosses val="autoZero"/>
        <c:auto val="1"/>
        <c:lblAlgn val="ctr"/>
        <c:lblOffset val="100"/>
        <c:noMultiLvlLbl val="0"/>
      </c:catAx>
      <c:valAx>
        <c:axId val="128186624"/>
        <c:scaling>
          <c:orientation val="minMax"/>
        </c:scaling>
        <c:delete val="0"/>
        <c:axPos val="l"/>
        <c:majorGridlines>
          <c:spPr>
            <a:ln>
              <a:solidFill>
                <a:srgbClr val="53565A"/>
              </a:solidFill>
            </a:ln>
          </c:spPr>
        </c:majorGridlines>
        <c:numFmt formatCode="&quot;$&quot;#,##0" sourceLinked="1"/>
        <c:majorTickMark val="none"/>
        <c:minorTickMark val="none"/>
        <c:tickLblPos val="nextTo"/>
        <c:spPr>
          <a:ln>
            <a:solidFill>
              <a:srgbClr val="53565A"/>
            </a:solidFill>
          </a:ln>
        </c:spPr>
        <c:txPr>
          <a:bodyPr/>
          <a:lstStyle/>
          <a:p>
            <a:pPr>
              <a:defRPr sz="900" baseline="0">
                <a:latin typeface="Arial" panose="020B0604020202020204" pitchFamily="34" charset="0"/>
                <a:ea typeface="Open Sans" panose="020B0606030504020204" pitchFamily="34" charset="0"/>
                <a:cs typeface="Arial" panose="020B0604020202020204" pitchFamily="34" charset="0"/>
              </a:defRPr>
            </a:pPr>
            <a:endParaRPr lang="en-US"/>
          </a:p>
        </c:txPr>
        <c:crossAx val="128185088"/>
        <c:crosses val="autoZero"/>
        <c:crossBetween val="between"/>
      </c:valAx>
      <c:spPr>
        <a:solidFill>
          <a:schemeClr val="bg1"/>
        </a:solidFill>
        <a:ln>
          <a:noFill/>
        </a:ln>
      </c:spPr>
    </c:plotArea>
    <c:legend>
      <c:legendPos val="r"/>
      <c:layout>
        <c:manualLayout>
          <c:xMode val="edge"/>
          <c:yMode val="edge"/>
          <c:x val="0.90137033578610548"/>
          <c:y val="0.79002084615966217"/>
          <c:w val="9.6564415929897771E-2"/>
          <c:h val="0.20905102180146556"/>
        </c:manualLayout>
      </c:layout>
      <c:overlay val="0"/>
      <c:txPr>
        <a:bodyPr/>
        <a:lstStyle/>
        <a:p>
          <a:pPr>
            <a:defRPr sz="900" b="0">
              <a:solidFill>
                <a:sysClr val="windowText" lastClr="000000"/>
              </a:solidFill>
              <a:latin typeface="Arial" panose="020B0604020202020204" pitchFamily="34" charset="0"/>
              <a:ea typeface="Open Sans" panose="020B0606030504020204" pitchFamily="34" charset="0"/>
              <a:cs typeface="Arial" panose="020B0604020202020204" pitchFamily="34" charset="0"/>
            </a:defRPr>
          </a:pPr>
          <a:endParaRPr lang="en-US"/>
        </a:p>
      </c:txPr>
    </c:legend>
    <c:plotVisOnly val="1"/>
    <c:dispBlanksAs val="gap"/>
    <c:showDLblsOverMax val="0"/>
  </c:chart>
  <c:spPr>
    <a:noFill/>
    <a:ln>
      <a:solidFill>
        <a:srgbClr val="53565A"/>
      </a:solidFill>
    </a:ln>
  </c:spPr>
  <c:printSettings>
    <c:headerFooter/>
    <c:pageMargins b="0.75" l="0.7" r="0.7" t="0.75" header="0.3" footer="0.3"/>
    <c:pageSetup orientation="portrait"/>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34"/>
    </mc:Choice>
    <mc:Fallback>
      <c:style val="34"/>
    </mc:Fallback>
  </mc:AlternateContent>
  <c:clrMapOvr bg1="lt1" tx1="dk1" bg2="lt2" tx2="dk2" accent1="accent1" accent2="accent2" accent3="accent3" accent4="accent4" accent5="accent5" accent6="accent6" hlink="hlink" folHlink="folHlink"/>
  <c:chart>
    <c:title>
      <c:tx>
        <c:rich>
          <a:bodyPr/>
          <a:lstStyle/>
          <a:p>
            <a:pPr>
              <a:defRPr sz="1400" b="0">
                <a:solidFill>
                  <a:srgbClr val="53565A"/>
                </a:solidFill>
                <a:latin typeface="Arial" panose="020B0604020202020204" pitchFamily="34" charset="0"/>
                <a:ea typeface="Open Sans Semibold" panose="020B0706030804020204" pitchFamily="34" charset="0"/>
                <a:cs typeface="Arial" panose="020B0604020202020204" pitchFamily="34" charset="0"/>
              </a:defRPr>
            </a:pPr>
            <a:r>
              <a:rPr lang="en-US">
                <a:latin typeface="Arial" panose="020B0604020202020204" pitchFamily="34" charset="0"/>
                <a:cs typeface="Arial" panose="020B0604020202020204" pitchFamily="34" charset="0"/>
              </a:rPr>
              <a:t>Food Service Expenditures (3100)</a:t>
            </a:r>
          </a:p>
        </c:rich>
      </c:tx>
      <c:layout>
        <c:manualLayout>
          <c:xMode val="edge"/>
          <c:yMode val="edge"/>
          <c:x val="0.34079309687107945"/>
          <c:y val="4.3923768154309505E-2"/>
        </c:manualLayout>
      </c:layout>
      <c:overlay val="0"/>
    </c:title>
    <c:autoTitleDeleted val="0"/>
    <c:view3D>
      <c:rotX val="15"/>
      <c:rotY val="20"/>
      <c:depthPercent val="100"/>
      <c:rAngAx val="1"/>
    </c:view3D>
    <c:floor>
      <c:thickness val="0"/>
      <c:spPr>
        <a:gradFill flip="none" rotWithShape="1">
          <a:gsLst>
            <a:gs pos="0">
              <a:srgbClr val="12284C">
                <a:lumMod val="5000"/>
                <a:lumOff val="95000"/>
              </a:srgbClr>
            </a:gs>
            <a:gs pos="74000">
              <a:srgbClr val="12284C">
                <a:lumMod val="45000"/>
                <a:lumOff val="55000"/>
              </a:srgbClr>
            </a:gs>
            <a:gs pos="83000">
              <a:srgbClr val="12284C">
                <a:lumMod val="45000"/>
                <a:lumOff val="55000"/>
              </a:srgbClr>
            </a:gs>
            <a:gs pos="100000">
              <a:srgbClr val="12284C">
                <a:lumMod val="30000"/>
                <a:lumOff val="70000"/>
              </a:srgbClr>
            </a:gs>
          </a:gsLst>
          <a:path path="circle">
            <a:fillToRect l="100000" t="100000"/>
          </a:path>
          <a:tileRect r="-100000" b="-100000"/>
        </a:gradFill>
        <a:ln>
          <a:solidFill>
            <a:srgbClr val="12284C"/>
          </a:solidFill>
        </a:ln>
      </c:spPr>
    </c:floor>
    <c:sideWall>
      <c:thickness val="0"/>
      <c:spPr>
        <a:gradFill flip="none" rotWithShape="1">
          <a:gsLst>
            <a:gs pos="0">
              <a:srgbClr val="12284C">
                <a:lumMod val="5000"/>
                <a:lumOff val="95000"/>
              </a:srgbClr>
            </a:gs>
            <a:gs pos="74000">
              <a:srgbClr val="12284C">
                <a:lumMod val="45000"/>
                <a:lumOff val="55000"/>
              </a:srgbClr>
            </a:gs>
            <a:gs pos="83000">
              <a:srgbClr val="12284C">
                <a:lumMod val="45000"/>
                <a:lumOff val="55000"/>
              </a:srgbClr>
            </a:gs>
            <a:gs pos="100000">
              <a:srgbClr val="12284C">
                <a:lumMod val="30000"/>
                <a:lumOff val="70000"/>
              </a:srgbClr>
            </a:gs>
          </a:gsLst>
          <a:path path="circle">
            <a:fillToRect l="100000" t="100000"/>
          </a:path>
          <a:tileRect r="-100000" b="-100000"/>
        </a:gradFill>
        <a:ln>
          <a:solidFill>
            <a:srgbClr val="12284C"/>
          </a:solidFill>
        </a:ln>
      </c:spPr>
    </c:sideWall>
    <c:backWall>
      <c:thickness val="0"/>
      <c:spPr>
        <a:gradFill flip="none" rotWithShape="1">
          <a:gsLst>
            <a:gs pos="0">
              <a:srgbClr val="12284C">
                <a:lumMod val="5000"/>
                <a:lumOff val="95000"/>
              </a:srgbClr>
            </a:gs>
            <a:gs pos="74000">
              <a:srgbClr val="12284C">
                <a:lumMod val="45000"/>
                <a:lumOff val="55000"/>
              </a:srgbClr>
            </a:gs>
            <a:gs pos="83000">
              <a:srgbClr val="12284C">
                <a:lumMod val="45000"/>
                <a:lumOff val="55000"/>
              </a:srgbClr>
            </a:gs>
            <a:gs pos="100000">
              <a:srgbClr val="12284C">
                <a:lumMod val="30000"/>
                <a:lumOff val="70000"/>
              </a:srgbClr>
            </a:gs>
          </a:gsLst>
          <a:path path="circle">
            <a:fillToRect l="100000" t="100000"/>
          </a:path>
          <a:tileRect r="-100000" b="-100000"/>
        </a:gradFill>
        <a:ln>
          <a:solidFill>
            <a:srgbClr val="12284C"/>
          </a:solidFill>
        </a:ln>
      </c:spPr>
    </c:backWall>
    <c:plotArea>
      <c:layout>
        <c:manualLayout>
          <c:layoutTarget val="inner"/>
          <c:xMode val="edge"/>
          <c:yMode val="edge"/>
          <c:x val="3.0575644109563874E-2"/>
          <c:y val="0.16386807517302321"/>
          <c:w val="0.96942435589043607"/>
          <c:h val="0.72190394631117549"/>
        </c:manualLayout>
      </c:layout>
      <c:bar3DChart>
        <c:barDir val="col"/>
        <c:grouping val="clustered"/>
        <c:varyColors val="0"/>
        <c:ser>
          <c:idx val="0"/>
          <c:order val="0"/>
          <c:tx>
            <c:v>Food Service Expenditures</c:v>
          </c:tx>
          <c:spPr>
            <a:solidFill>
              <a:srgbClr val="FFA400"/>
            </a:solidFill>
            <a:ln>
              <a:solidFill>
                <a:srgbClr val="D28700"/>
              </a:solidFill>
            </a:ln>
          </c:spPr>
          <c:invertIfNegative val="0"/>
          <c:dPt>
            <c:idx val="1"/>
            <c:invertIfNegative val="0"/>
            <c:bubble3D val="0"/>
            <c:spPr>
              <a:solidFill>
                <a:srgbClr val="00B796"/>
              </a:solidFill>
              <a:ln>
                <a:solidFill>
                  <a:srgbClr val="008269"/>
                </a:solidFill>
              </a:ln>
            </c:spPr>
            <c:extLst>
              <c:ext xmlns:c16="http://schemas.microsoft.com/office/drawing/2014/chart" uri="{C3380CC4-5D6E-409C-BE32-E72D297353CC}">
                <c16:uniqueId val="{00000003-EA90-4AD3-ABE4-5B34F4836766}"/>
              </c:ext>
            </c:extLst>
          </c:dPt>
          <c:dPt>
            <c:idx val="2"/>
            <c:invertIfNegative val="0"/>
            <c:bubble3D val="0"/>
            <c:spPr>
              <a:solidFill>
                <a:srgbClr val="B7312C"/>
              </a:solidFill>
              <a:ln>
                <a:solidFill>
                  <a:srgbClr val="7F241F"/>
                </a:solidFill>
              </a:ln>
            </c:spPr>
            <c:extLst>
              <c:ext xmlns:c16="http://schemas.microsoft.com/office/drawing/2014/chart" uri="{C3380CC4-5D6E-409C-BE32-E72D297353CC}">
                <c16:uniqueId val="{00000004-EA90-4AD3-ABE4-5B34F4836766}"/>
              </c:ext>
            </c:extLst>
          </c:dPt>
          <c:dPt>
            <c:idx val="3"/>
            <c:invertIfNegative val="0"/>
            <c:bubble3D val="0"/>
            <c:spPr>
              <a:solidFill>
                <a:srgbClr val="005587"/>
              </a:solidFill>
              <a:ln>
                <a:solidFill>
                  <a:srgbClr val="12284C"/>
                </a:solidFill>
              </a:ln>
            </c:spPr>
            <c:extLst>
              <c:ext xmlns:c16="http://schemas.microsoft.com/office/drawing/2014/chart" uri="{C3380CC4-5D6E-409C-BE32-E72D297353CC}">
                <c16:uniqueId val="{00000005-D4E3-40AF-8345-71890A74772B}"/>
              </c:ext>
            </c:extLst>
          </c:dPt>
          <c:dPt>
            <c:idx val="4"/>
            <c:invertIfNegative val="0"/>
            <c:bubble3D val="0"/>
            <c:spPr>
              <a:solidFill>
                <a:srgbClr val="53565A"/>
              </a:solidFill>
              <a:ln>
                <a:solidFill>
                  <a:srgbClr val="383A3C"/>
                </a:solidFill>
              </a:ln>
            </c:spPr>
            <c:extLst>
              <c:ext xmlns:c16="http://schemas.microsoft.com/office/drawing/2014/chart" uri="{C3380CC4-5D6E-409C-BE32-E72D297353CC}">
                <c16:uniqueId val="{00000006-D4E3-40AF-8345-71890A74772B}"/>
              </c:ext>
            </c:extLst>
          </c:dPt>
          <c:dLbls>
            <c:dLbl>
              <c:idx val="0"/>
              <c:layout>
                <c:manualLayout>
                  <c:x val="1.0132073464371864E-2"/>
                  <c:y val="-3.8826413992771473E-2"/>
                </c:manualLayout>
              </c:layout>
              <c:spPr>
                <a:noFill/>
                <a:ln>
                  <a:noFill/>
                </a:ln>
                <a:effectLst/>
              </c:spPr>
              <c:txPr>
                <a:bodyPr vertOverflow="clip" horzOverflow="clip" wrap="square" lIns="38100" tIns="19050" rIns="38100" bIns="19050" anchor="ctr" anchorCtr="0">
                  <a:spAutoFit/>
                </a:bodyPr>
                <a:lstStyle/>
                <a:p>
                  <a:pPr algn="l">
                    <a:defRPr sz="900">
                      <a:latin typeface="Arial" panose="020B0604020202020204" pitchFamily="34" charset="0"/>
                      <a:ea typeface="Open Sans Light" panose="020B0306030504020204" pitchFamily="34" charset="0"/>
                      <a:cs typeface="Arial" panose="020B0604020202020204" pitchFamily="34" charset="0"/>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B89A-43E1-B6B0-9C74BAE5742A}"/>
                </c:ext>
              </c:extLst>
            </c:dLbl>
            <c:dLbl>
              <c:idx val="1"/>
              <c:layout>
                <c:manualLayout>
                  <c:x val="1.5129283485714557E-2"/>
                  <c:y val="-4.8005172389448875E-2"/>
                </c:manualLayout>
              </c:layout>
              <c:spPr>
                <a:noFill/>
                <a:ln>
                  <a:noFill/>
                </a:ln>
                <a:effectLst/>
              </c:spPr>
              <c:txPr>
                <a:bodyPr vertOverflow="clip" horzOverflow="clip" wrap="none" lIns="38100" tIns="19050" rIns="38100" bIns="19050" anchor="ctr" anchorCtr="0">
                  <a:spAutoFit/>
                </a:bodyPr>
                <a:lstStyle/>
                <a:p>
                  <a:pPr algn="l">
                    <a:defRPr sz="900">
                      <a:latin typeface="Arial" panose="020B0604020202020204" pitchFamily="34" charset="0"/>
                      <a:ea typeface="Open Sans Light" panose="020B0306030504020204" pitchFamily="34" charset="0"/>
                      <a:cs typeface="Arial" panose="020B0604020202020204" pitchFamily="34" charset="0"/>
                    </a:defRPr>
                  </a:pPr>
                  <a:endParaRPr lang="en-US"/>
                </a:p>
              </c:txP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3-EA90-4AD3-ABE4-5B34F4836766}"/>
                </c:ext>
              </c:extLst>
            </c:dLbl>
            <c:dLbl>
              <c:idx val="2"/>
              <c:layout>
                <c:manualLayout>
                  <c:x val="1.3026819748704328E-2"/>
                  <c:y val="-1.5037589533600872E-2"/>
                </c:manualLayout>
              </c:layout>
              <c:spPr>
                <a:noFill/>
                <a:ln>
                  <a:noFill/>
                </a:ln>
                <a:effectLst/>
              </c:spPr>
              <c:txPr>
                <a:bodyPr vertOverflow="clip" horzOverflow="clip" wrap="square" lIns="38100" tIns="19050" rIns="38100" bIns="19050" anchor="ctr" anchorCtr="0">
                  <a:spAutoFit/>
                </a:bodyPr>
                <a:lstStyle/>
                <a:p>
                  <a:pPr algn="l">
                    <a:defRPr sz="900">
                      <a:latin typeface="Arial" panose="020B0604020202020204" pitchFamily="34" charset="0"/>
                      <a:ea typeface="Open Sans Light" panose="020B0306030504020204" pitchFamily="34" charset="0"/>
                      <a:cs typeface="Arial" panose="020B0604020202020204" pitchFamily="34" charset="0"/>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EA90-4AD3-ABE4-5B34F4836766}"/>
                </c:ext>
              </c:extLst>
            </c:dLbl>
            <c:dLbl>
              <c:idx val="3"/>
              <c:layout>
                <c:manualLayout>
                  <c:x val="1.1579395332181518E-2"/>
                  <c:y val="-2.631578168380152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D4E3-40AF-8345-71890A74772B}"/>
                </c:ext>
              </c:extLst>
            </c:dLbl>
            <c:dLbl>
              <c:idx val="4"/>
              <c:layout>
                <c:manualLayout>
                  <c:x val="1.158161418747738E-2"/>
                  <c:y val="-2.674156309700396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D4E3-40AF-8345-71890A74772B}"/>
                </c:ext>
              </c:extLst>
            </c:dLbl>
            <c:spPr>
              <a:noFill/>
              <a:ln>
                <a:noFill/>
              </a:ln>
              <a:effectLst/>
            </c:spPr>
            <c:txPr>
              <a:bodyPr wrap="square" lIns="38100" tIns="19050" rIns="38100" bIns="19050" anchor="ctr" anchorCtr="0">
                <a:spAutoFit/>
              </a:bodyPr>
              <a:lstStyle/>
              <a:p>
                <a:pPr algn="l">
                  <a:defRPr sz="900">
                    <a:latin typeface="Arial" panose="020B0604020202020204" pitchFamily="34" charset="0"/>
                    <a:ea typeface="Open Sans Light" panose="020B0306030504020204" pitchFamily="34" charset="0"/>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SUMEXPEN!$P$952:$R$952</c:f>
              <c:strCache>
                <c:ptCount val="3"/>
                <c:pt idx="0">
                  <c:v>2023-2024</c:v>
                </c:pt>
                <c:pt idx="1">
                  <c:v>2024-2025</c:v>
                </c:pt>
                <c:pt idx="2">
                  <c:v>2025-2026</c:v>
                </c:pt>
              </c:strCache>
            </c:strRef>
          </c:cat>
          <c:val>
            <c:numRef>
              <c:f>SUMEXPEN!$P$953:$R$953</c:f>
              <c:numCache>
                <c:formatCode>"$"#,##0</c:formatCode>
                <c:ptCount val="3"/>
                <c:pt idx="0">
                  <c:v>122157</c:v>
                </c:pt>
                <c:pt idx="1">
                  <c:v>133439</c:v>
                </c:pt>
                <c:pt idx="2">
                  <c:v>129500</c:v>
                </c:pt>
              </c:numCache>
            </c:numRef>
          </c:val>
          <c:shape val="pyramid"/>
          <c:extLst>
            <c:ext xmlns:c16="http://schemas.microsoft.com/office/drawing/2014/chart" uri="{C3380CC4-5D6E-409C-BE32-E72D297353CC}">
              <c16:uniqueId val="{00000000-03ED-42F9-B639-8C83BB0EB494}"/>
            </c:ext>
          </c:extLst>
        </c:ser>
        <c:dLbls>
          <c:showLegendKey val="0"/>
          <c:showVal val="1"/>
          <c:showCatName val="0"/>
          <c:showSerName val="0"/>
          <c:showPercent val="0"/>
          <c:showBubbleSize val="0"/>
        </c:dLbls>
        <c:gapWidth val="150"/>
        <c:shape val="box"/>
        <c:axId val="128185088"/>
        <c:axId val="128186624"/>
        <c:axId val="0"/>
      </c:bar3DChart>
      <c:catAx>
        <c:axId val="128185088"/>
        <c:scaling>
          <c:orientation val="minMax"/>
        </c:scaling>
        <c:delete val="0"/>
        <c:axPos val="b"/>
        <c:numFmt formatCode="General" sourceLinked="1"/>
        <c:majorTickMark val="none"/>
        <c:minorTickMark val="none"/>
        <c:tickLblPos val="nextTo"/>
        <c:spPr>
          <a:noFill/>
        </c:spPr>
        <c:txPr>
          <a:bodyPr rot="0" anchor="t" anchorCtr="0"/>
          <a:lstStyle/>
          <a:p>
            <a:pPr>
              <a:defRPr sz="900" b="0" baseline="0">
                <a:solidFill>
                  <a:sysClr val="windowText" lastClr="000000"/>
                </a:solidFill>
                <a:latin typeface="Arial" panose="020B0604020202020204" pitchFamily="34" charset="0"/>
                <a:ea typeface="Open Sans" panose="020B0606030504020204" pitchFamily="34" charset="0"/>
                <a:cs typeface="Arial" panose="020B0604020202020204" pitchFamily="34" charset="0"/>
              </a:defRPr>
            </a:pPr>
            <a:endParaRPr lang="en-US"/>
          </a:p>
        </c:txPr>
        <c:crossAx val="128186624"/>
        <c:crosses val="autoZero"/>
        <c:auto val="1"/>
        <c:lblAlgn val="ctr"/>
        <c:lblOffset val="100"/>
        <c:noMultiLvlLbl val="0"/>
      </c:catAx>
      <c:valAx>
        <c:axId val="128186624"/>
        <c:scaling>
          <c:orientation val="minMax"/>
        </c:scaling>
        <c:delete val="0"/>
        <c:axPos val="l"/>
        <c:majorGridlines>
          <c:spPr>
            <a:ln>
              <a:solidFill>
                <a:srgbClr val="53565A"/>
              </a:solidFill>
            </a:ln>
          </c:spPr>
        </c:majorGridlines>
        <c:numFmt formatCode="&quot;$&quot;#,##0" sourceLinked="1"/>
        <c:majorTickMark val="none"/>
        <c:minorTickMark val="none"/>
        <c:tickLblPos val="nextTo"/>
        <c:spPr>
          <a:ln>
            <a:solidFill>
              <a:srgbClr val="53565A"/>
            </a:solidFill>
          </a:ln>
        </c:spPr>
        <c:txPr>
          <a:bodyPr/>
          <a:lstStyle/>
          <a:p>
            <a:pPr>
              <a:defRPr sz="900" baseline="0">
                <a:latin typeface="Arial" panose="020B0604020202020204" pitchFamily="34" charset="0"/>
                <a:ea typeface="Open Sans" panose="020B0606030504020204" pitchFamily="34" charset="0"/>
                <a:cs typeface="Arial" panose="020B0604020202020204" pitchFamily="34" charset="0"/>
              </a:defRPr>
            </a:pPr>
            <a:endParaRPr lang="en-US"/>
          </a:p>
        </c:txPr>
        <c:crossAx val="128185088"/>
        <c:crosses val="autoZero"/>
        <c:crossBetween val="between"/>
      </c:valAx>
      <c:spPr>
        <a:noFill/>
        <a:ln>
          <a:noFill/>
        </a:ln>
      </c:spPr>
    </c:plotArea>
    <c:plotVisOnly val="1"/>
    <c:dispBlanksAs val="gap"/>
    <c:showDLblsOverMax val="0"/>
  </c:chart>
  <c:spPr>
    <a:noFill/>
    <a:ln>
      <a:solidFill>
        <a:srgbClr val="53565A"/>
      </a:solidFill>
    </a:ln>
  </c:spPr>
  <c:printSettings>
    <c:headerFooter/>
    <c:pageMargins b="0.75" l="0.7" r="0.7" t="0.75" header="0.3" footer="0.3"/>
    <c:pageSetup orientation="portrait"/>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34"/>
    </mc:Choice>
    <mc:Fallback>
      <c:style val="34"/>
    </mc:Fallback>
  </mc:AlternateContent>
  <c:clrMapOvr bg1="lt1" tx1="dk1" bg2="lt2" tx2="dk2" accent1="accent1" accent2="accent2" accent3="accent3" accent4="accent4" accent5="accent5" accent6="accent6" hlink="hlink" folHlink="folHlink"/>
  <c:chart>
    <c:title>
      <c:tx>
        <c:rich>
          <a:bodyPr/>
          <a:lstStyle/>
          <a:p>
            <a:pPr>
              <a:defRPr sz="1400" b="0">
                <a:solidFill>
                  <a:srgbClr val="53565A"/>
                </a:solidFill>
                <a:latin typeface="Open Sans Semibold" panose="020B0706030804020204" pitchFamily="34" charset="0"/>
                <a:ea typeface="Open Sans Semibold" panose="020B0706030804020204" pitchFamily="34" charset="0"/>
                <a:cs typeface="Open Sans Semibold" panose="020B0706030804020204" pitchFamily="34" charset="0"/>
              </a:defRPr>
            </a:pPr>
            <a:r>
              <a:rPr lang="en-US">
                <a:latin typeface="Arial" panose="020B0604020202020204" pitchFamily="34" charset="0"/>
                <a:cs typeface="Arial" panose="020B0604020202020204" pitchFamily="34" charset="0"/>
              </a:rPr>
              <a:t>Community Service Operations Expenditures (3300)</a:t>
            </a:r>
          </a:p>
        </c:rich>
      </c:tx>
      <c:layout>
        <c:manualLayout>
          <c:xMode val="edge"/>
          <c:yMode val="edge"/>
          <c:x val="0.34079309687107945"/>
          <c:y val="4.3923768154309505E-2"/>
        </c:manualLayout>
      </c:layout>
      <c:overlay val="0"/>
    </c:title>
    <c:autoTitleDeleted val="0"/>
    <c:view3D>
      <c:rotX val="15"/>
      <c:rotY val="20"/>
      <c:depthPercent val="100"/>
      <c:rAngAx val="1"/>
    </c:view3D>
    <c:floor>
      <c:thickness val="0"/>
      <c:spPr>
        <a:gradFill flip="none" rotWithShape="1">
          <a:gsLst>
            <a:gs pos="0">
              <a:srgbClr val="12284C">
                <a:lumMod val="5000"/>
                <a:lumOff val="95000"/>
              </a:srgbClr>
            </a:gs>
            <a:gs pos="74000">
              <a:srgbClr val="12284C">
                <a:lumMod val="45000"/>
                <a:lumOff val="55000"/>
              </a:srgbClr>
            </a:gs>
            <a:gs pos="83000">
              <a:srgbClr val="12284C">
                <a:lumMod val="45000"/>
                <a:lumOff val="55000"/>
              </a:srgbClr>
            </a:gs>
            <a:gs pos="100000">
              <a:srgbClr val="12284C">
                <a:lumMod val="30000"/>
                <a:lumOff val="70000"/>
              </a:srgbClr>
            </a:gs>
          </a:gsLst>
          <a:path path="circle">
            <a:fillToRect l="100000" t="100000"/>
          </a:path>
          <a:tileRect r="-100000" b="-100000"/>
        </a:gradFill>
        <a:ln>
          <a:solidFill>
            <a:srgbClr val="12284C"/>
          </a:solidFill>
        </a:ln>
      </c:spPr>
    </c:floor>
    <c:sideWall>
      <c:thickness val="0"/>
      <c:spPr>
        <a:gradFill flip="none" rotWithShape="1">
          <a:gsLst>
            <a:gs pos="0">
              <a:srgbClr val="12284C">
                <a:lumMod val="5000"/>
                <a:lumOff val="95000"/>
              </a:srgbClr>
            </a:gs>
            <a:gs pos="74000">
              <a:srgbClr val="12284C">
                <a:lumMod val="45000"/>
                <a:lumOff val="55000"/>
              </a:srgbClr>
            </a:gs>
            <a:gs pos="83000">
              <a:srgbClr val="12284C">
                <a:lumMod val="45000"/>
                <a:lumOff val="55000"/>
              </a:srgbClr>
            </a:gs>
            <a:gs pos="100000">
              <a:srgbClr val="12284C">
                <a:lumMod val="30000"/>
                <a:lumOff val="70000"/>
              </a:srgbClr>
            </a:gs>
          </a:gsLst>
          <a:path path="circle">
            <a:fillToRect l="100000" t="100000"/>
          </a:path>
          <a:tileRect r="-100000" b="-100000"/>
        </a:gradFill>
        <a:ln>
          <a:solidFill>
            <a:srgbClr val="12284C"/>
          </a:solidFill>
        </a:ln>
      </c:spPr>
    </c:sideWall>
    <c:backWall>
      <c:thickness val="0"/>
      <c:spPr>
        <a:gradFill flip="none" rotWithShape="1">
          <a:gsLst>
            <a:gs pos="0">
              <a:srgbClr val="12284C">
                <a:lumMod val="5000"/>
                <a:lumOff val="95000"/>
              </a:srgbClr>
            </a:gs>
            <a:gs pos="74000">
              <a:srgbClr val="12284C">
                <a:lumMod val="45000"/>
                <a:lumOff val="55000"/>
              </a:srgbClr>
            </a:gs>
            <a:gs pos="83000">
              <a:srgbClr val="12284C">
                <a:lumMod val="45000"/>
                <a:lumOff val="55000"/>
              </a:srgbClr>
            </a:gs>
            <a:gs pos="100000">
              <a:srgbClr val="12284C">
                <a:lumMod val="30000"/>
                <a:lumOff val="70000"/>
              </a:srgbClr>
            </a:gs>
          </a:gsLst>
          <a:path path="circle">
            <a:fillToRect l="100000" t="100000"/>
          </a:path>
          <a:tileRect r="-100000" b="-100000"/>
        </a:gradFill>
        <a:ln>
          <a:solidFill>
            <a:srgbClr val="12284C"/>
          </a:solidFill>
        </a:ln>
      </c:spPr>
    </c:backWall>
    <c:plotArea>
      <c:layout>
        <c:manualLayout>
          <c:layoutTarget val="inner"/>
          <c:xMode val="edge"/>
          <c:yMode val="edge"/>
          <c:x val="3.0575644109563874E-2"/>
          <c:y val="0.16386807517302321"/>
          <c:w val="0.96942435589043607"/>
          <c:h val="0.72190394631117549"/>
        </c:manualLayout>
      </c:layout>
      <c:bar3DChart>
        <c:barDir val="col"/>
        <c:grouping val="clustered"/>
        <c:varyColors val="0"/>
        <c:ser>
          <c:idx val="0"/>
          <c:order val="0"/>
          <c:tx>
            <c:strRef>
              <c:f>SUMEXPEN!$O$1013</c:f>
              <c:strCache>
                <c:ptCount val="1"/>
                <c:pt idx="0">
                  <c:v>Community Service Operations Expenditures (3300)</c:v>
                </c:pt>
              </c:strCache>
            </c:strRef>
          </c:tx>
          <c:spPr>
            <a:solidFill>
              <a:srgbClr val="FFA400"/>
            </a:solidFill>
            <a:ln>
              <a:solidFill>
                <a:srgbClr val="D28700"/>
              </a:solidFill>
            </a:ln>
          </c:spPr>
          <c:invertIfNegative val="0"/>
          <c:dPt>
            <c:idx val="1"/>
            <c:invertIfNegative val="0"/>
            <c:bubble3D val="0"/>
            <c:spPr>
              <a:solidFill>
                <a:srgbClr val="00B796"/>
              </a:solidFill>
              <a:ln>
                <a:solidFill>
                  <a:srgbClr val="008269"/>
                </a:solidFill>
              </a:ln>
            </c:spPr>
            <c:extLst>
              <c:ext xmlns:c16="http://schemas.microsoft.com/office/drawing/2014/chart" uri="{C3380CC4-5D6E-409C-BE32-E72D297353CC}">
                <c16:uniqueId val="{00000003-EA90-4AD3-ABE4-5B34F4836766}"/>
              </c:ext>
            </c:extLst>
          </c:dPt>
          <c:dPt>
            <c:idx val="2"/>
            <c:invertIfNegative val="0"/>
            <c:bubble3D val="0"/>
            <c:spPr>
              <a:solidFill>
                <a:srgbClr val="B7312C"/>
              </a:solidFill>
              <a:ln>
                <a:solidFill>
                  <a:srgbClr val="7F241F"/>
                </a:solidFill>
              </a:ln>
            </c:spPr>
            <c:extLst>
              <c:ext xmlns:c16="http://schemas.microsoft.com/office/drawing/2014/chart" uri="{C3380CC4-5D6E-409C-BE32-E72D297353CC}">
                <c16:uniqueId val="{00000004-EA90-4AD3-ABE4-5B34F4836766}"/>
              </c:ext>
            </c:extLst>
          </c:dPt>
          <c:dPt>
            <c:idx val="3"/>
            <c:invertIfNegative val="0"/>
            <c:bubble3D val="0"/>
            <c:spPr>
              <a:solidFill>
                <a:srgbClr val="005587"/>
              </a:solidFill>
              <a:ln>
                <a:solidFill>
                  <a:srgbClr val="12284C"/>
                </a:solidFill>
              </a:ln>
            </c:spPr>
            <c:extLst>
              <c:ext xmlns:c16="http://schemas.microsoft.com/office/drawing/2014/chart" uri="{C3380CC4-5D6E-409C-BE32-E72D297353CC}">
                <c16:uniqueId val="{00000005-D4E3-40AF-8345-71890A74772B}"/>
              </c:ext>
            </c:extLst>
          </c:dPt>
          <c:dPt>
            <c:idx val="4"/>
            <c:invertIfNegative val="0"/>
            <c:bubble3D val="0"/>
            <c:spPr>
              <a:solidFill>
                <a:srgbClr val="53565A"/>
              </a:solidFill>
              <a:ln>
                <a:solidFill>
                  <a:srgbClr val="383A3C"/>
                </a:solidFill>
              </a:ln>
            </c:spPr>
            <c:extLst>
              <c:ext xmlns:c16="http://schemas.microsoft.com/office/drawing/2014/chart" uri="{C3380CC4-5D6E-409C-BE32-E72D297353CC}">
                <c16:uniqueId val="{00000006-D4E3-40AF-8345-71890A74772B}"/>
              </c:ext>
            </c:extLst>
          </c:dPt>
          <c:dLbls>
            <c:dLbl>
              <c:idx val="0"/>
              <c:layout>
                <c:manualLayout>
                  <c:x val="1.0132073464371864E-2"/>
                  <c:y val="-3.8826413992771473E-2"/>
                </c:manualLayout>
              </c:layout>
              <c:spPr>
                <a:noFill/>
                <a:ln>
                  <a:noFill/>
                </a:ln>
                <a:effectLst/>
              </c:spPr>
              <c:txPr>
                <a:bodyPr vertOverflow="clip" horzOverflow="clip" wrap="square" lIns="38100" tIns="19050" rIns="38100" bIns="19050" anchor="ctr" anchorCtr="0">
                  <a:spAutoFit/>
                </a:bodyPr>
                <a:lstStyle/>
                <a:p>
                  <a:pPr algn="l">
                    <a:defRPr sz="900">
                      <a:latin typeface="Arial" panose="020B0604020202020204" pitchFamily="34" charset="0"/>
                      <a:ea typeface="Open Sans Light" panose="020B0306030504020204" pitchFamily="34" charset="0"/>
                      <a:cs typeface="Arial" panose="020B0604020202020204" pitchFamily="34" charset="0"/>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B89A-43E1-B6B0-9C74BAE5742A}"/>
                </c:ext>
              </c:extLst>
            </c:dLbl>
            <c:dLbl>
              <c:idx val="1"/>
              <c:layout>
                <c:manualLayout>
                  <c:x val="1.5129283485714557E-2"/>
                  <c:y val="-4.8005172389448875E-2"/>
                </c:manualLayout>
              </c:layout>
              <c:spPr>
                <a:noFill/>
                <a:ln>
                  <a:noFill/>
                </a:ln>
                <a:effectLst/>
              </c:spPr>
              <c:txPr>
                <a:bodyPr vertOverflow="clip" horzOverflow="clip" wrap="none" lIns="38100" tIns="19050" rIns="38100" bIns="19050" anchor="ctr" anchorCtr="0">
                  <a:spAutoFit/>
                </a:bodyPr>
                <a:lstStyle/>
                <a:p>
                  <a:pPr algn="l">
                    <a:defRPr sz="900">
                      <a:latin typeface="Arial" panose="020B0604020202020204" pitchFamily="34" charset="0"/>
                      <a:ea typeface="Open Sans Light" panose="020B0306030504020204" pitchFamily="34" charset="0"/>
                      <a:cs typeface="Arial" panose="020B0604020202020204" pitchFamily="34" charset="0"/>
                    </a:defRPr>
                  </a:pPr>
                  <a:endParaRPr lang="en-US"/>
                </a:p>
              </c:txP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3-EA90-4AD3-ABE4-5B34F4836766}"/>
                </c:ext>
              </c:extLst>
            </c:dLbl>
            <c:dLbl>
              <c:idx val="2"/>
              <c:layout>
                <c:manualLayout>
                  <c:x val="1.3026819748704328E-2"/>
                  <c:y val="-1.5037589533600872E-2"/>
                </c:manualLayout>
              </c:layout>
              <c:spPr>
                <a:noFill/>
                <a:ln>
                  <a:noFill/>
                </a:ln>
                <a:effectLst/>
              </c:spPr>
              <c:txPr>
                <a:bodyPr vertOverflow="clip" horzOverflow="clip" wrap="square" lIns="38100" tIns="19050" rIns="38100" bIns="19050" anchor="ctr" anchorCtr="0">
                  <a:spAutoFit/>
                </a:bodyPr>
                <a:lstStyle/>
                <a:p>
                  <a:pPr algn="l">
                    <a:defRPr sz="900">
                      <a:latin typeface="Arial" panose="020B0604020202020204" pitchFamily="34" charset="0"/>
                      <a:ea typeface="Open Sans Light" panose="020B0306030504020204" pitchFamily="34" charset="0"/>
                      <a:cs typeface="Arial" panose="020B0604020202020204" pitchFamily="34" charset="0"/>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EA90-4AD3-ABE4-5B34F4836766}"/>
                </c:ext>
              </c:extLst>
            </c:dLbl>
            <c:dLbl>
              <c:idx val="3"/>
              <c:layout>
                <c:manualLayout>
                  <c:x val="1.1579395332181518E-2"/>
                  <c:y val="-2.631578168380152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D4E3-40AF-8345-71890A74772B}"/>
                </c:ext>
              </c:extLst>
            </c:dLbl>
            <c:dLbl>
              <c:idx val="4"/>
              <c:layout>
                <c:manualLayout>
                  <c:x val="1.158161418747738E-2"/>
                  <c:y val="-2.674156309700396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D4E3-40AF-8345-71890A74772B}"/>
                </c:ext>
              </c:extLst>
            </c:dLbl>
            <c:spPr>
              <a:noFill/>
              <a:ln>
                <a:noFill/>
              </a:ln>
              <a:effectLst/>
            </c:spPr>
            <c:txPr>
              <a:bodyPr wrap="square" lIns="38100" tIns="19050" rIns="38100" bIns="19050" anchor="ctr" anchorCtr="0">
                <a:spAutoFit/>
              </a:bodyPr>
              <a:lstStyle/>
              <a:p>
                <a:pPr algn="l">
                  <a:defRPr sz="900">
                    <a:latin typeface="Arial" panose="020B0604020202020204" pitchFamily="34" charset="0"/>
                    <a:ea typeface="Open Sans Light" panose="020B0306030504020204" pitchFamily="34" charset="0"/>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SUMEXPEN!$P$1012:$R$1012</c:f>
              <c:strCache>
                <c:ptCount val="3"/>
                <c:pt idx="0">
                  <c:v>2023-2024</c:v>
                </c:pt>
                <c:pt idx="1">
                  <c:v>2024-2025</c:v>
                </c:pt>
                <c:pt idx="2">
                  <c:v>2025-2026</c:v>
                </c:pt>
              </c:strCache>
            </c:strRef>
          </c:cat>
          <c:val>
            <c:numRef>
              <c:f>SUMEXPEN!$P$1013:$R$1013</c:f>
              <c:numCache>
                <c:formatCode>"$"#,##0</c:formatCode>
                <c:ptCount val="3"/>
                <c:pt idx="0">
                  <c:v>#N/A</c:v>
                </c:pt>
                <c:pt idx="1">
                  <c:v>#N/A</c:v>
                </c:pt>
                <c:pt idx="2">
                  <c:v>#N/A</c:v>
                </c:pt>
              </c:numCache>
            </c:numRef>
          </c:val>
          <c:shape val="pyramid"/>
          <c:extLst>
            <c:ext xmlns:c16="http://schemas.microsoft.com/office/drawing/2014/chart" uri="{C3380CC4-5D6E-409C-BE32-E72D297353CC}">
              <c16:uniqueId val="{00000000-03ED-42F9-B639-8C83BB0EB494}"/>
            </c:ext>
          </c:extLst>
        </c:ser>
        <c:dLbls>
          <c:showLegendKey val="0"/>
          <c:showVal val="1"/>
          <c:showCatName val="0"/>
          <c:showSerName val="0"/>
          <c:showPercent val="0"/>
          <c:showBubbleSize val="0"/>
        </c:dLbls>
        <c:gapWidth val="150"/>
        <c:shape val="box"/>
        <c:axId val="128185088"/>
        <c:axId val="128186624"/>
        <c:axId val="0"/>
      </c:bar3DChart>
      <c:catAx>
        <c:axId val="128185088"/>
        <c:scaling>
          <c:orientation val="minMax"/>
        </c:scaling>
        <c:delete val="0"/>
        <c:axPos val="b"/>
        <c:numFmt formatCode="General" sourceLinked="1"/>
        <c:majorTickMark val="none"/>
        <c:minorTickMark val="none"/>
        <c:tickLblPos val="nextTo"/>
        <c:spPr>
          <a:noFill/>
        </c:spPr>
        <c:txPr>
          <a:bodyPr rot="0" anchor="t" anchorCtr="0"/>
          <a:lstStyle/>
          <a:p>
            <a:pPr>
              <a:defRPr sz="900" b="0" baseline="0">
                <a:solidFill>
                  <a:sysClr val="windowText" lastClr="000000"/>
                </a:solidFill>
                <a:latin typeface="Arial" panose="020B0604020202020204" pitchFamily="34" charset="0"/>
                <a:ea typeface="Open Sans" panose="020B0606030504020204" pitchFamily="34" charset="0"/>
                <a:cs typeface="Arial" panose="020B0604020202020204" pitchFamily="34" charset="0"/>
              </a:defRPr>
            </a:pPr>
            <a:endParaRPr lang="en-US"/>
          </a:p>
        </c:txPr>
        <c:crossAx val="128186624"/>
        <c:crosses val="autoZero"/>
        <c:auto val="1"/>
        <c:lblAlgn val="ctr"/>
        <c:lblOffset val="100"/>
        <c:noMultiLvlLbl val="0"/>
      </c:catAx>
      <c:valAx>
        <c:axId val="128186624"/>
        <c:scaling>
          <c:orientation val="minMax"/>
        </c:scaling>
        <c:delete val="0"/>
        <c:axPos val="l"/>
        <c:majorGridlines>
          <c:spPr>
            <a:ln>
              <a:solidFill>
                <a:srgbClr val="53565A"/>
              </a:solidFill>
            </a:ln>
          </c:spPr>
        </c:majorGridlines>
        <c:numFmt formatCode="&quot;$&quot;#,##0" sourceLinked="1"/>
        <c:majorTickMark val="none"/>
        <c:minorTickMark val="none"/>
        <c:tickLblPos val="nextTo"/>
        <c:spPr>
          <a:ln>
            <a:solidFill>
              <a:srgbClr val="53565A"/>
            </a:solidFill>
          </a:ln>
        </c:spPr>
        <c:txPr>
          <a:bodyPr/>
          <a:lstStyle/>
          <a:p>
            <a:pPr>
              <a:defRPr sz="900" baseline="0">
                <a:latin typeface="Arial" panose="020B0604020202020204" pitchFamily="34" charset="0"/>
                <a:ea typeface="Open Sans" panose="020B0606030504020204" pitchFamily="34" charset="0"/>
                <a:cs typeface="Arial" panose="020B0604020202020204" pitchFamily="34" charset="0"/>
              </a:defRPr>
            </a:pPr>
            <a:endParaRPr lang="en-US"/>
          </a:p>
        </c:txPr>
        <c:crossAx val="128185088"/>
        <c:crosses val="autoZero"/>
        <c:crossBetween val="between"/>
      </c:valAx>
      <c:spPr>
        <a:noFill/>
        <a:ln>
          <a:noFill/>
        </a:ln>
      </c:spPr>
    </c:plotArea>
    <c:plotVisOnly val="1"/>
    <c:dispBlanksAs val="gap"/>
    <c:showDLblsOverMax val="0"/>
  </c:chart>
  <c:spPr>
    <a:noFill/>
    <a:ln>
      <a:solidFill>
        <a:srgbClr val="53565A"/>
      </a:solidFill>
    </a:ln>
  </c:spPr>
  <c:printSettings>
    <c:headerFooter/>
    <c:pageMargins b="0.75" l="0.7" r="0.7" t="0.75" header="0.3" footer="0.3"/>
    <c:pageSetup orientation="portrait"/>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34"/>
    </mc:Choice>
    <mc:Fallback>
      <c:style val="34"/>
    </mc:Fallback>
  </mc:AlternateContent>
  <c:clrMapOvr bg1="lt1" tx1="dk1" bg2="lt2" tx2="dk2" accent1="accent1" accent2="accent2" accent3="accent3" accent4="accent4" accent5="accent5" accent6="accent6" hlink="hlink" folHlink="folHlink"/>
  <c:chart>
    <c:title>
      <c:tx>
        <c:rich>
          <a:bodyPr/>
          <a:lstStyle/>
          <a:p>
            <a:pPr>
              <a:defRPr sz="1400" b="0">
                <a:solidFill>
                  <a:srgbClr val="53565A"/>
                </a:solidFill>
                <a:latin typeface="Arial" panose="020B0604020202020204" pitchFamily="34" charset="0"/>
                <a:ea typeface="Open Sans Semibold" panose="020B0706030804020204" pitchFamily="34" charset="0"/>
                <a:cs typeface="Arial" panose="020B0604020202020204" pitchFamily="34" charset="0"/>
              </a:defRPr>
            </a:pPr>
            <a:r>
              <a:rPr lang="en-US">
                <a:latin typeface="Arial" panose="020B0604020202020204" pitchFamily="34" charset="0"/>
                <a:cs typeface="Arial" panose="020B0604020202020204" pitchFamily="34" charset="0"/>
              </a:rPr>
              <a:t>Capital Improvement Expenditures (4000)</a:t>
            </a:r>
          </a:p>
        </c:rich>
      </c:tx>
      <c:layout>
        <c:manualLayout>
          <c:xMode val="edge"/>
          <c:yMode val="edge"/>
          <c:x val="0.34079309687107945"/>
          <c:y val="4.3923768154309505E-2"/>
        </c:manualLayout>
      </c:layout>
      <c:overlay val="0"/>
    </c:title>
    <c:autoTitleDeleted val="0"/>
    <c:view3D>
      <c:rotX val="15"/>
      <c:rotY val="20"/>
      <c:depthPercent val="100"/>
      <c:rAngAx val="1"/>
    </c:view3D>
    <c:floor>
      <c:thickness val="0"/>
      <c:spPr>
        <a:gradFill flip="none" rotWithShape="1">
          <a:gsLst>
            <a:gs pos="0">
              <a:srgbClr val="12284C">
                <a:lumMod val="5000"/>
                <a:lumOff val="95000"/>
              </a:srgbClr>
            </a:gs>
            <a:gs pos="74000">
              <a:srgbClr val="12284C">
                <a:lumMod val="45000"/>
                <a:lumOff val="55000"/>
              </a:srgbClr>
            </a:gs>
            <a:gs pos="83000">
              <a:srgbClr val="12284C">
                <a:lumMod val="45000"/>
                <a:lumOff val="55000"/>
              </a:srgbClr>
            </a:gs>
            <a:gs pos="100000">
              <a:srgbClr val="12284C">
                <a:lumMod val="30000"/>
                <a:lumOff val="70000"/>
              </a:srgbClr>
            </a:gs>
          </a:gsLst>
          <a:path path="circle">
            <a:fillToRect l="100000" t="100000"/>
          </a:path>
          <a:tileRect r="-100000" b="-100000"/>
        </a:gradFill>
        <a:ln>
          <a:solidFill>
            <a:srgbClr val="12284C"/>
          </a:solidFill>
        </a:ln>
      </c:spPr>
    </c:floor>
    <c:sideWall>
      <c:thickness val="0"/>
      <c:spPr>
        <a:gradFill flip="none" rotWithShape="1">
          <a:gsLst>
            <a:gs pos="0">
              <a:srgbClr val="12284C">
                <a:lumMod val="5000"/>
                <a:lumOff val="95000"/>
              </a:srgbClr>
            </a:gs>
            <a:gs pos="74000">
              <a:srgbClr val="12284C">
                <a:lumMod val="45000"/>
                <a:lumOff val="55000"/>
              </a:srgbClr>
            </a:gs>
            <a:gs pos="83000">
              <a:srgbClr val="12284C">
                <a:lumMod val="45000"/>
                <a:lumOff val="55000"/>
              </a:srgbClr>
            </a:gs>
            <a:gs pos="100000">
              <a:srgbClr val="12284C">
                <a:lumMod val="30000"/>
                <a:lumOff val="70000"/>
              </a:srgbClr>
            </a:gs>
          </a:gsLst>
          <a:path path="circle">
            <a:fillToRect l="100000" t="100000"/>
          </a:path>
          <a:tileRect r="-100000" b="-100000"/>
        </a:gradFill>
        <a:ln>
          <a:solidFill>
            <a:srgbClr val="12284C"/>
          </a:solidFill>
        </a:ln>
      </c:spPr>
    </c:sideWall>
    <c:backWall>
      <c:thickness val="0"/>
      <c:spPr>
        <a:gradFill flip="none" rotWithShape="1">
          <a:gsLst>
            <a:gs pos="0">
              <a:srgbClr val="12284C">
                <a:lumMod val="5000"/>
                <a:lumOff val="95000"/>
              </a:srgbClr>
            </a:gs>
            <a:gs pos="74000">
              <a:srgbClr val="12284C">
                <a:lumMod val="45000"/>
                <a:lumOff val="55000"/>
              </a:srgbClr>
            </a:gs>
            <a:gs pos="83000">
              <a:srgbClr val="12284C">
                <a:lumMod val="45000"/>
                <a:lumOff val="55000"/>
              </a:srgbClr>
            </a:gs>
            <a:gs pos="100000">
              <a:srgbClr val="12284C">
                <a:lumMod val="30000"/>
                <a:lumOff val="70000"/>
              </a:srgbClr>
            </a:gs>
          </a:gsLst>
          <a:path path="circle">
            <a:fillToRect l="100000" t="100000"/>
          </a:path>
          <a:tileRect r="-100000" b="-100000"/>
        </a:gradFill>
        <a:ln>
          <a:solidFill>
            <a:srgbClr val="12284C"/>
          </a:solidFill>
        </a:ln>
      </c:spPr>
    </c:backWall>
    <c:plotArea>
      <c:layout>
        <c:manualLayout>
          <c:layoutTarget val="inner"/>
          <c:xMode val="edge"/>
          <c:yMode val="edge"/>
          <c:x val="3.0575644109563874E-2"/>
          <c:y val="0.16386807517302321"/>
          <c:w val="0.96942435589043607"/>
          <c:h val="0.72190394631117549"/>
        </c:manualLayout>
      </c:layout>
      <c:bar3DChart>
        <c:barDir val="col"/>
        <c:grouping val="clustered"/>
        <c:varyColors val="0"/>
        <c:ser>
          <c:idx val="0"/>
          <c:order val="0"/>
          <c:tx>
            <c:v>Capital Improvements</c:v>
          </c:tx>
          <c:spPr>
            <a:solidFill>
              <a:srgbClr val="FFA400"/>
            </a:solidFill>
            <a:ln>
              <a:solidFill>
                <a:srgbClr val="D28700"/>
              </a:solidFill>
            </a:ln>
          </c:spPr>
          <c:invertIfNegative val="0"/>
          <c:dPt>
            <c:idx val="1"/>
            <c:invertIfNegative val="0"/>
            <c:bubble3D val="0"/>
            <c:spPr>
              <a:solidFill>
                <a:srgbClr val="00B796"/>
              </a:solidFill>
              <a:ln>
                <a:solidFill>
                  <a:srgbClr val="008269"/>
                </a:solidFill>
              </a:ln>
            </c:spPr>
            <c:extLst>
              <c:ext xmlns:c16="http://schemas.microsoft.com/office/drawing/2014/chart" uri="{C3380CC4-5D6E-409C-BE32-E72D297353CC}">
                <c16:uniqueId val="{00000003-EA90-4AD3-ABE4-5B34F4836766}"/>
              </c:ext>
            </c:extLst>
          </c:dPt>
          <c:dPt>
            <c:idx val="2"/>
            <c:invertIfNegative val="0"/>
            <c:bubble3D val="0"/>
            <c:spPr>
              <a:solidFill>
                <a:srgbClr val="B7312C"/>
              </a:solidFill>
              <a:ln>
                <a:solidFill>
                  <a:srgbClr val="7F241F"/>
                </a:solidFill>
              </a:ln>
            </c:spPr>
            <c:extLst>
              <c:ext xmlns:c16="http://schemas.microsoft.com/office/drawing/2014/chart" uri="{C3380CC4-5D6E-409C-BE32-E72D297353CC}">
                <c16:uniqueId val="{00000004-EA90-4AD3-ABE4-5B34F4836766}"/>
              </c:ext>
            </c:extLst>
          </c:dPt>
          <c:dPt>
            <c:idx val="3"/>
            <c:invertIfNegative val="0"/>
            <c:bubble3D val="0"/>
            <c:spPr>
              <a:solidFill>
                <a:srgbClr val="005587"/>
              </a:solidFill>
              <a:ln>
                <a:solidFill>
                  <a:srgbClr val="12284C"/>
                </a:solidFill>
              </a:ln>
            </c:spPr>
            <c:extLst>
              <c:ext xmlns:c16="http://schemas.microsoft.com/office/drawing/2014/chart" uri="{C3380CC4-5D6E-409C-BE32-E72D297353CC}">
                <c16:uniqueId val="{00000005-D4E3-40AF-8345-71890A74772B}"/>
              </c:ext>
            </c:extLst>
          </c:dPt>
          <c:dPt>
            <c:idx val="4"/>
            <c:invertIfNegative val="0"/>
            <c:bubble3D val="0"/>
            <c:spPr>
              <a:solidFill>
                <a:srgbClr val="53565A"/>
              </a:solidFill>
              <a:ln>
                <a:solidFill>
                  <a:srgbClr val="383A3C"/>
                </a:solidFill>
              </a:ln>
            </c:spPr>
            <c:extLst>
              <c:ext xmlns:c16="http://schemas.microsoft.com/office/drawing/2014/chart" uri="{C3380CC4-5D6E-409C-BE32-E72D297353CC}">
                <c16:uniqueId val="{00000006-D4E3-40AF-8345-71890A74772B}"/>
              </c:ext>
            </c:extLst>
          </c:dPt>
          <c:dLbls>
            <c:dLbl>
              <c:idx val="0"/>
              <c:layout>
                <c:manualLayout>
                  <c:x val="1.0132073464371864E-2"/>
                  <c:y val="-3.8826413992771473E-2"/>
                </c:manualLayout>
              </c:layout>
              <c:spPr>
                <a:noFill/>
                <a:ln>
                  <a:noFill/>
                </a:ln>
                <a:effectLst/>
              </c:spPr>
              <c:txPr>
                <a:bodyPr vertOverflow="clip" horzOverflow="clip" wrap="square" lIns="38100" tIns="19050" rIns="38100" bIns="19050" anchor="ctr" anchorCtr="0">
                  <a:spAutoFit/>
                </a:bodyPr>
                <a:lstStyle/>
                <a:p>
                  <a:pPr algn="l">
                    <a:defRPr sz="900">
                      <a:latin typeface="Arial" panose="020B0604020202020204" pitchFamily="34" charset="0"/>
                      <a:ea typeface="Open Sans Light" panose="020B0306030504020204" pitchFamily="34" charset="0"/>
                      <a:cs typeface="Arial" panose="020B0604020202020204" pitchFamily="34" charset="0"/>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B89A-43E1-B6B0-9C74BAE5742A}"/>
                </c:ext>
              </c:extLst>
            </c:dLbl>
            <c:dLbl>
              <c:idx val="1"/>
              <c:layout>
                <c:manualLayout>
                  <c:x val="1.5129283485714557E-2"/>
                  <c:y val="-4.8005172389448875E-2"/>
                </c:manualLayout>
              </c:layout>
              <c:spPr>
                <a:noFill/>
                <a:ln>
                  <a:noFill/>
                </a:ln>
                <a:effectLst/>
              </c:spPr>
              <c:txPr>
                <a:bodyPr vertOverflow="clip" horzOverflow="clip" wrap="none" lIns="38100" tIns="19050" rIns="38100" bIns="19050" anchor="ctr" anchorCtr="0">
                  <a:spAutoFit/>
                </a:bodyPr>
                <a:lstStyle/>
                <a:p>
                  <a:pPr algn="l">
                    <a:defRPr sz="900">
                      <a:latin typeface="Arial" panose="020B0604020202020204" pitchFamily="34" charset="0"/>
                      <a:ea typeface="Open Sans Light" panose="020B0306030504020204" pitchFamily="34" charset="0"/>
                      <a:cs typeface="Arial" panose="020B0604020202020204" pitchFamily="34" charset="0"/>
                    </a:defRPr>
                  </a:pPr>
                  <a:endParaRPr lang="en-US"/>
                </a:p>
              </c:txP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3-EA90-4AD3-ABE4-5B34F4836766}"/>
                </c:ext>
              </c:extLst>
            </c:dLbl>
            <c:dLbl>
              <c:idx val="2"/>
              <c:layout>
                <c:manualLayout>
                  <c:x val="1.3026819748704328E-2"/>
                  <c:y val="-1.5037589533600872E-2"/>
                </c:manualLayout>
              </c:layout>
              <c:spPr>
                <a:noFill/>
                <a:ln>
                  <a:noFill/>
                </a:ln>
                <a:effectLst/>
              </c:spPr>
              <c:txPr>
                <a:bodyPr vertOverflow="clip" horzOverflow="clip" wrap="square" lIns="38100" tIns="19050" rIns="38100" bIns="19050" anchor="ctr" anchorCtr="0">
                  <a:spAutoFit/>
                </a:bodyPr>
                <a:lstStyle/>
                <a:p>
                  <a:pPr algn="l">
                    <a:defRPr sz="900">
                      <a:latin typeface="Arial" panose="020B0604020202020204" pitchFamily="34" charset="0"/>
                      <a:ea typeface="Open Sans Light" panose="020B0306030504020204" pitchFamily="34" charset="0"/>
                      <a:cs typeface="Arial" panose="020B0604020202020204" pitchFamily="34" charset="0"/>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EA90-4AD3-ABE4-5B34F4836766}"/>
                </c:ext>
              </c:extLst>
            </c:dLbl>
            <c:dLbl>
              <c:idx val="3"/>
              <c:layout>
                <c:manualLayout>
                  <c:x val="1.1579395332181518E-2"/>
                  <c:y val="-2.631578168380152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D4E3-40AF-8345-71890A74772B}"/>
                </c:ext>
              </c:extLst>
            </c:dLbl>
            <c:dLbl>
              <c:idx val="4"/>
              <c:layout>
                <c:manualLayout>
                  <c:x val="1.158161418747738E-2"/>
                  <c:y val="-2.674156309700396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D4E3-40AF-8345-71890A74772B}"/>
                </c:ext>
              </c:extLst>
            </c:dLbl>
            <c:spPr>
              <a:noFill/>
              <a:ln>
                <a:noFill/>
              </a:ln>
              <a:effectLst/>
            </c:spPr>
            <c:txPr>
              <a:bodyPr wrap="square" lIns="38100" tIns="19050" rIns="38100" bIns="19050" anchor="ctr" anchorCtr="0">
                <a:spAutoFit/>
              </a:bodyPr>
              <a:lstStyle/>
              <a:p>
                <a:pPr algn="l">
                  <a:defRPr sz="900">
                    <a:latin typeface="Arial" panose="020B0604020202020204" pitchFamily="34" charset="0"/>
                    <a:ea typeface="Open Sans Light" panose="020B0306030504020204" pitchFamily="34" charset="0"/>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SUMEXPEN!$P$1076:$R$1076</c:f>
              <c:strCache>
                <c:ptCount val="3"/>
                <c:pt idx="0">
                  <c:v>2023-2024</c:v>
                </c:pt>
                <c:pt idx="1">
                  <c:v>2024-2025</c:v>
                </c:pt>
                <c:pt idx="2">
                  <c:v>2025-2026</c:v>
                </c:pt>
              </c:strCache>
            </c:strRef>
          </c:cat>
          <c:val>
            <c:numRef>
              <c:f>SUMEXPEN!$P$1077:$R$1077</c:f>
              <c:numCache>
                <c:formatCode>"$"#,##0</c:formatCode>
                <c:ptCount val="3"/>
                <c:pt idx="0">
                  <c:v>39926</c:v>
                </c:pt>
                <c:pt idx="1">
                  <c:v>0</c:v>
                </c:pt>
                <c:pt idx="2">
                  <c:v>25000</c:v>
                </c:pt>
              </c:numCache>
            </c:numRef>
          </c:val>
          <c:shape val="pyramid"/>
          <c:extLst>
            <c:ext xmlns:c16="http://schemas.microsoft.com/office/drawing/2014/chart" uri="{C3380CC4-5D6E-409C-BE32-E72D297353CC}">
              <c16:uniqueId val="{00000000-03ED-42F9-B639-8C83BB0EB494}"/>
            </c:ext>
          </c:extLst>
        </c:ser>
        <c:dLbls>
          <c:showLegendKey val="0"/>
          <c:showVal val="1"/>
          <c:showCatName val="0"/>
          <c:showSerName val="0"/>
          <c:showPercent val="0"/>
          <c:showBubbleSize val="0"/>
        </c:dLbls>
        <c:gapWidth val="150"/>
        <c:shape val="box"/>
        <c:axId val="128185088"/>
        <c:axId val="128186624"/>
        <c:axId val="0"/>
      </c:bar3DChart>
      <c:catAx>
        <c:axId val="128185088"/>
        <c:scaling>
          <c:orientation val="minMax"/>
        </c:scaling>
        <c:delete val="0"/>
        <c:axPos val="b"/>
        <c:numFmt formatCode="General" sourceLinked="1"/>
        <c:majorTickMark val="none"/>
        <c:minorTickMark val="none"/>
        <c:tickLblPos val="nextTo"/>
        <c:spPr>
          <a:noFill/>
        </c:spPr>
        <c:txPr>
          <a:bodyPr rot="0" anchor="t" anchorCtr="0"/>
          <a:lstStyle/>
          <a:p>
            <a:pPr>
              <a:defRPr sz="900" b="0" baseline="0">
                <a:solidFill>
                  <a:sysClr val="windowText" lastClr="000000"/>
                </a:solidFill>
                <a:latin typeface="Arial" panose="020B0604020202020204" pitchFamily="34" charset="0"/>
                <a:ea typeface="Open Sans" panose="020B0606030504020204" pitchFamily="34" charset="0"/>
                <a:cs typeface="Arial" panose="020B0604020202020204" pitchFamily="34" charset="0"/>
              </a:defRPr>
            </a:pPr>
            <a:endParaRPr lang="en-US"/>
          </a:p>
        </c:txPr>
        <c:crossAx val="128186624"/>
        <c:crosses val="autoZero"/>
        <c:auto val="1"/>
        <c:lblAlgn val="ctr"/>
        <c:lblOffset val="100"/>
        <c:noMultiLvlLbl val="0"/>
      </c:catAx>
      <c:valAx>
        <c:axId val="128186624"/>
        <c:scaling>
          <c:orientation val="minMax"/>
        </c:scaling>
        <c:delete val="0"/>
        <c:axPos val="l"/>
        <c:majorGridlines>
          <c:spPr>
            <a:ln>
              <a:solidFill>
                <a:srgbClr val="53565A"/>
              </a:solidFill>
            </a:ln>
          </c:spPr>
        </c:majorGridlines>
        <c:numFmt formatCode="&quot;$&quot;#,##0" sourceLinked="1"/>
        <c:majorTickMark val="none"/>
        <c:minorTickMark val="none"/>
        <c:tickLblPos val="nextTo"/>
        <c:spPr>
          <a:ln>
            <a:solidFill>
              <a:srgbClr val="53565A"/>
            </a:solidFill>
          </a:ln>
        </c:spPr>
        <c:txPr>
          <a:bodyPr/>
          <a:lstStyle/>
          <a:p>
            <a:pPr>
              <a:defRPr sz="900" baseline="0">
                <a:latin typeface="Arial" panose="020B0604020202020204" pitchFamily="34" charset="0"/>
                <a:ea typeface="Open Sans" panose="020B0606030504020204" pitchFamily="34" charset="0"/>
                <a:cs typeface="Arial" panose="020B0604020202020204" pitchFamily="34" charset="0"/>
              </a:defRPr>
            </a:pPr>
            <a:endParaRPr lang="en-US"/>
          </a:p>
        </c:txPr>
        <c:crossAx val="128185088"/>
        <c:crosses val="autoZero"/>
        <c:crossBetween val="between"/>
      </c:valAx>
      <c:spPr>
        <a:noFill/>
        <a:ln>
          <a:noFill/>
        </a:ln>
      </c:spPr>
    </c:plotArea>
    <c:plotVisOnly val="1"/>
    <c:dispBlanksAs val="gap"/>
    <c:showDLblsOverMax val="0"/>
  </c:chart>
  <c:spPr>
    <a:noFill/>
    <a:ln>
      <a:solidFill>
        <a:srgbClr val="53565A"/>
      </a:solidFill>
    </a:ln>
  </c:spPr>
  <c:printSettings>
    <c:headerFooter/>
    <c:pageMargins b="0.75" l="0.7" r="0.7" t="0.75" header="0.3" footer="0.3"/>
    <c:pageSetup orientation="portrait"/>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34"/>
    </mc:Choice>
    <mc:Fallback>
      <c:style val="34"/>
    </mc:Fallback>
  </mc:AlternateContent>
  <c:clrMapOvr bg1="lt1" tx1="dk1" bg2="lt2" tx2="dk2" accent1="accent1" accent2="accent2" accent3="accent3" accent4="accent4" accent5="accent5" accent6="accent6" hlink="hlink" folHlink="folHlink"/>
  <c:chart>
    <c:title>
      <c:tx>
        <c:rich>
          <a:bodyPr/>
          <a:lstStyle/>
          <a:p>
            <a:pPr>
              <a:defRPr sz="1400" b="0">
                <a:solidFill>
                  <a:srgbClr val="53565A"/>
                </a:solidFill>
                <a:latin typeface="Arial" panose="020B0604020202020204" pitchFamily="34" charset="0"/>
                <a:ea typeface="Open Sans Semibold" panose="020B0706030804020204" pitchFamily="34" charset="0"/>
                <a:cs typeface="Arial" panose="020B0604020202020204" pitchFamily="34" charset="0"/>
              </a:defRPr>
            </a:pPr>
            <a:r>
              <a:rPr lang="en-US">
                <a:latin typeface="Arial" panose="020B0604020202020204" pitchFamily="34" charset="0"/>
                <a:cs typeface="Arial" panose="020B0604020202020204" pitchFamily="34" charset="0"/>
              </a:rPr>
              <a:t>Debt Service Expenditures (5100)</a:t>
            </a:r>
          </a:p>
        </c:rich>
      </c:tx>
      <c:layout>
        <c:manualLayout>
          <c:xMode val="edge"/>
          <c:yMode val="edge"/>
          <c:x val="0.34079309687107945"/>
          <c:y val="4.3923768154309505E-2"/>
        </c:manualLayout>
      </c:layout>
      <c:overlay val="0"/>
    </c:title>
    <c:autoTitleDeleted val="0"/>
    <c:view3D>
      <c:rotX val="15"/>
      <c:rotY val="20"/>
      <c:depthPercent val="100"/>
      <c:rAngAx val="1"/>
    </c:view3D>
    <c:floor>
      <c:thickness val="0"/>
      <c:spPr>
        <a:gradFill flip="none" rotWithShape="1">
          <a:gsLst>
            <a:gs pos="0">
              <a:srgbClr val="12284C">
                <a:lumMod val="5000"/>
                <a:lumOff val="95000"/>
              </a:srgbClr>
            </a:gs>
            <a:gs pos="74000">
              <a:srgbClr val="12284C">
                <a:lumMod val="45000"/>
                <a:lumOff val="55000"/>
              </a:srgbClr>
            </a:gs>
            <a:gs pos="83000">
              <a:srgbClr val="12284C">
                <a:lumMod val="45000"/>
                <a:lumOff val="55000"/>
              </a:srgbClr>
            </a:gs>
            <a:gs pos="100000">
              <a:srgbClr val="12284C">
                <a:lumMod val="30000"/>
                <a:lumOff val="70000"/>
              </a:srgbClr>
            </a:gs>
          </a:gsLst>
          <a:path path="circle">
            <a:fillToRect l="100000" t="100000"/>
          </a:path>
          <a:tileRect r="-100000" b="-100000"/>
        </a:gradFill>
        <a:ln>
          <a:solidFill>
            <a:srgbClr val="12284C"/>
          </a:solidFill>
        </a:ln>
      </c:spPr>
    </c:floor>
    <c:sideWall>
      <c:thickness val="0"/>
      <c:spPr>
        <a:gradFill flip="none" rotWithShape="1">
          <a:gsLst>
            <a:gs pos="0">
              <a:srgbClr val="12284C">
                <a:lumMod val="5000"/>
                <a:lumOff val="95000"/>
              </a:srgbClr>
            </a:gs>
            <a:gs pos="74000">
              <a:srgbClr val="12284C">
                <a:lumMod val="45000"/>
                <a:lumOff val="55000"/>
              </a:srgbClr>
            </a:gs>
            <a:gs pos="83000">
              <a:srgbClr val="12284C">
                <a:lumMod val="45000"/>
                <a:lumOff val="55000"/>
              </a:srgbClr>
            </a:gs>
            <a:gs pos="100000">
              <a:srgbClr val="12284C">
                <a:lumMod val="30000"/>
                <a:lumOff val="70000"/>
              </a:srgbClr>
            </a:gs>
          </a:gsLst>
          <a:path path="circle">
            <a:fillToRect l="100000" t="100000"/>
          </a:path>
          <a:tileRect r="-100000" b="-100000"/>
        </a:gradFill>
        <a:ln>
          <a:solidFill>
            <a:srgbClr val="12284C"/>
          </a:solidFill>
        </a:ln>
      </c:spPr>
    </c:sideWall>
    <c:backWall>
      <c:thickness val="0"/>
      <c:spPr>
        <a:gradFill flip="none" rotWithShape="1">
          <a:gsLst>
            <a:gs pos="0">
              <a:srgbClr val="12284C">
                <a:lumMod val="5000"/>
                <a:lumOff val="95000"/>
              </a:srgbClr>
            </a:gs>
            <a:gs pos="74000">
              <a:srgbClr val="12284C">
                <a:lumMod val="45000"/>
                <a:lumOff val="55000"/>
              </a:srgbClr>
            </a:gs>
            <a:gs pos="83000">
              <a:srgbClr val="12284C">
                <a:lumMod val="45000"/>
                <a:lumOff val="55000"/>
              </a:srgbClr>
            </a:gs>
            <a:gs pos="100000">
              <a:srgbClr val="12284C">
                <a:lumMod val="30000"/>
                <a:lumOff val="70000"/>
              </a:srgbClr>
            </a:gs>
          </a:gsLst>
          <a:path path="circle">
            <a:fillToRect l="100000" t="100000"/>
          </a:path>
          <a:tileRect r="-100000" b="-100000"/>
        </a:gradFill>
        <a:ln>
          <a:solidFill>
            <a:srgbClr val="12284C"/>
          </a:solidFill>
        </a:ln>
      </c:spPr>
    </c:backWall>
    <c:plotArea>
      <c:layout>
        <c:manualLayout>
          <c:layoutTarget val="inner"/>
          <c:xMode val="edge"/>
          <c:yMode val="edge"/>
          <c:x val="3.0575644109563874E-2"/>
          <c:y val="0.16386807517302321"/>
          <c:w val="0.96942435589043607"/>
          <c:h val="0.72190394631117549"/>
        </c:manualLayout>
      </c:layout>
      <c:bar3DChart>
        <c:barDir val="col"/>
        <c:grouping val="clustered"/>
        <c:varyColors val="0"/>
        <c:ser>
          <c:idx val="0"/>
          <c:order val="0"/>
          <c:tx>
            <c:v>Debt Services (5100)</c:v>
          </c:tx>
          <c:spPr>
            <a:solidFill>
              <a:srgbClr val="FFA400"/>
            </a:solidFill>
            <a:ln>
              <a:solidFill>
                <a:srgbClr val="D28700"/>
              </a:solidFill>
            </a:ln>
          </c:spPr>
          <c:invertIfNegative val="0"/>
          <c:dPt>
            <c:idx val="1"/>
            <c:invertIfNegative val="0"/>
            <c:bubble3D val="0"/>
            <c:spPr>
              <a:solidFill>
                <a:srgbClr val="00B796"/>
              </a:solidFill>
              <a:ln>
                <a:solidFill>
                  <a:srgbClr val="008269"/>
                </a:solidFill>
              </a:ln>
            </c:spPr>
            <c:extLst>
              <c:ext xmlns:c16="http://schemas.microsoft.com/office/drawing/2014/chart" uri="{C3380CC4-5D6E-409C-BE32-E72D297353CC}">
                <c16:uniqueId val="{00000003-EA90-4AD3-ABE4-5B34F4836766}"/>
              </c:ext>
            </c:extLst>
          </c:dPt>
          <c:dPt>
            <c:idx val="2"/>
            <c:invertIfNegative val="0"/>
            <c:bubble3D val="0"/>
            <c:spPr>
              <a:solidFill>
                <a:srgbClr val="B7312C"/>
              </a:solidFill>
              <a:ln>
                <a:solidFill>
                  <a:srgbClr val="7F241F"/>
                </a:solidFill>
              </a:ln>
            </c:spPr>
            <c:extLst>
              <c:ext xmlns:c16="http://schemas.microsoft.com/office/drawing/2014/chart" uri="{C3380CC4-5D6E-409C-BE32-E72D297353CC}">
                <c16:uniqueId val="{00000004-EA90-4AD3-ABE4-5B34F4836766}"/>
              </c:ext>
            </c:extLst>
          </c:dPt>
          <c:dPt>
            <c:idx val="3"/>
            <c:invertIfNegative val="0"/>
            <c:bubble3D val="0"/>
            <c:spPr>
              <a:solidFill>
                <a:srgbClr val="005587"/>
              </a:solidFill>
              <a:ln>
                <a:solidFill>
                  <a:srgbClr val="12284C"/>
                </a:solidFill>
              </a:ln>
            </c:spPr>
            <c:extLst>
              <c:ext xmlns:c16="http://schemas.microsoft.com/office/drawing/2014/chart" uri="{C3380CC4-5D6E-409C-BE32-E72D297353CC}">
                <c16:uniqueId val="{00000005-D4E3-40AF-8345-71890A74772B}"/>
              </c:ext>
            </c:extLst>
          </c:dPt>
          <c:dPt>
            <c:idx val="4"/>
            <c:invertIfNegative val="0"/>
            <c:bubble3D val="0"/>
            <c:spPr>
              <a:solidFill>
                <a:srgbClr val="53565A"/>
              </a:solidFill>
              <a:ln>
                <a:solidFill>
                  <a:srgbClr val="383A3C"/>
                </a:solidFill>
              </a:ln>
            </c:spPr>
            <c:extLst>
              <c:ext xmlns:c16="http://schemas.microsoft.com/office/drawing/2014/chart" uri="{C3380CC4-5D6E-409C-BE32-E72D297353CC}">
                <c16:uniqueId val="{00000006-D4E3-40AF-8345-71890A74772B}"/>
              </c:ext>
            </c:extLst>
          </c:dPt>
          <c:dLbls>
            <c:dLbl>
              <c:idx val="0"/>
              <c:layout>
                <c:manualLayout>
                  <c:x val="1.0132073464371864E-2"/>
                  <c:y val="-3.8826413992771473E-2"/>
                </c:manualLayout>
              </c:layout>
              <c:spPr>
                <a:noFill/>
                <a:ln>
                  <a:noFill/>
                </a:ln>
                <a:effectLst/>
              </c:spPr>
              <c:txPr>
                <a:bodyPr vertOverflow="clip" horzOverflow="clip" wrap="square" lIns="38100" tIns="19050" rIns="38100" bIns="19050" anchor="ctr" anchorCtr="0">
                  <a:spAutoFit/>
                </a:bodyPr>
                <a:lstStyle/>
                <a:p>
                  <a:pPr algn="l">
                    <a:defRPr sz="900">
                      <a:latin typeface="Arial" panose="020B0604020202020204" pitchFamily="34" charset="0"/>
                      <a:ea typeface="Open Sans Light" panose="020B0306030504020204" pitchFamily="34" charset="0"/>
                      <a:cs typeface="Arial" panose="020B0604020202020204" pitchFamily="34" charset="0"/>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B89A-43E1-B6B0-9C74BAE5742A}"/>
                </c:ext>
              </c:extLst>
            </c:dLbl>
            <c:dLbl>
              <c:idx val="1"/>
              <c:layout>
                <c:manualLayout>
                  <c:x val="1.5129283485714557E-2"/>
                  <c:y val="-4.8005172389448875E-2"/>
                </c:manualLayout>
              </c:layout>
              <c:spPr>
                <a:noFill/>
                <a:ln>
                  <a:noFill/>
                </a:ln>
                <a:effectLst/>
              </c:spPr>
              <c:txPr>
                <a:bodyPr vertOverflow="clip" horzOverflow="clip" wrap="none" lIns="38100" tIns="19050" rIns="38100" bIns="19050" anchor="ctr" anchorCtr="0">
                  <a:spAutoFit/>
                </a:bodyPr>
                <a:lstStyle/>
                <a:p>
                  <a:pPr algn="l">
                    <a:defRPr sz="900">
                      <a:latin typeface="Arial" panose="020B0604020202020204" pitchFamily="34" charset="0"/>
                      <a:ea typeface="Open Sans Light" panose="020B0306030504020204" pitchFamily="34" charset="0"/>
                      <a:cs typeface="Arial" panose="020B0604020202020204" pitchFamily="34" charset="0"/>
                    </a:defRPr>
                  </a:pPr>
                  <a:endParaRPr lang="en-US"/>
                </a:p>
              </c:txP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3-EA90-4AD3-ABE4-5B34F4836766}"/>
                </c:ext>
              </c:extLst>
            </c:dLbl>
            <c:dLbl>
              <c:idx val="2"/>
              <c:layout>
                <c:manualLayout>
                  <c:x val="1.3026819748704328E-2"/>
                  <c:y val="-1.5037589533600872E-2"/>
                </c:manualLayout>
              </c:layout>
              <c:spPr>
                <a:noFill/>
                <a:ln>
                  <a:noFill/>
                </a:ln>
                <a:effectLst/>
              </c:spPr>
              <c:txPr>
                <a:bodyPr vertOverflow="clip" horzOverflow="clip" wrap="square" lIns="38100" tIns="19050" rIns="38100" bIns="19050" anchor="ctr" anchorCtr="0">
                  <a:spAutoFit/>
                </a:bodyPr>
                <a:lstStyle/>
                <a:p>
                  <a:pPr algn="l">
                    <a:defRPr sz="900">
                      <a:latin typeface="Arial" panose="020B0604020202020204" pitchFamily="34" charset="0"/>
                      <a:ea typeface="Open Sans Light" panose="020B0306030504020204" pitchFamily="34" charset="0"/>
                      <a:cs typeface="Arial" panose="020B0604020202020204" pitchFamily="34" charset="0"/>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EA90-4AD3-ABE4-5B34F4836766}"/>
                </c:ext>
              </c:extLst>
            </c:dLbl>
            <c:dLbl>
              <c:idx val="3"/>
              <c:layout>
                <c:manualLayout>
                  <c:x val="1.1579395332181518E-2"/>
                  <c:y val="-2.631578168380152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D4E3-40AF-8345-71890A74772B}"/>
                </c:ext>
              </c:extLst>
            </c:dLbl>
            <c:dLbl>
              <c:idx val="4"/>
              <c:layout>
                <c:manualLayout>
                  <c:x val="1.158161418747738E-2"/>
                  <c:y val="-2.674156309700396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D4E3-40AF-8345-71890A74772B}"/>
                </c:ext>
              </c:extLst>
            </c:dLbl>
            <c:spPr>
              <a:noFill/>
              <a:ln>
                <a:noFill/>
              </a:ln>
              <a:effectLst/>
            </c:spPr>
            <c:txPr>
              <a:bodyPr wrap="square" lIns="38100" tIns="19050" rIns="38100" bIns="19050" anchor="ctr" anchorCtr="0">
                <a:spAutoFit/>
              </a:bodyPr>
              <a:lstStyle/>
              <a:p>
                <a:pPr algn="l">
                  <a:defRPr sz="900">
                    <a:latin typeface="Arial" panose="020B0604020202020204" pitchFamily="34" charset="0"/>
                    <a:ea typeface="Open Sans Light" panose="020B0306030504020204" pitchFamily="34" charset="0"/>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SUMEXPEN!$P$1144:$R$1144</c:f>
              <c:strCache>
                <c:ptCount val="3"/>
                <c:pt idx="0">
                  <c:v>2023-2024</c:v>
                </c:pt>
                <c:pt idx="1">
                  <c:v>2024-2025</c:v>
                </c:pt>
                <c:pt idx="2">
                  <c:v>2025-2026</c:v>
                </c:pt>
              </c:strCache>
            </c:strRef>
          </c:cat>
          <c:val>
            <c:numRef>
              <c:f>SUMEXPEN!$P$1145:$R$1145</c:f>
              <c:numCache>
                <c:formatCode>"$"#,##0</c:formatCode>
                <c:ptCount val="3"/>
                <c:pt idx="0">
                  <c:v>153725</c:v>
                </c:pt>
                <c:pt idx="1">
                  <c:v>154900</c:v>
                </c:pt>
                <c:pt idx="2">
                  <c:v>154900</c:v>
                </c:pt>
              </c:numCache>
            </c:numRef>
          </c:val>
          <c:shape val="pyramid"/>
          <c:extLst>
            <c:ext xmlns:c16="http://schemas.microsoft.com/office/drawing/2014/chart" uri="{C3380CC4-5D6E-409C-BE32-E72D297353CC}">
              <c16:uniqueId val="{00000000-03ED-42F9-B639-8C83BB0EB494}"/>
            </c:ext>
          </c:extLst>
        </c:ser>
        <c:dLbls>
          <c:showLegendKey val="0"/>
          <c:showVal val="1"/>
          <c:showCatName val="0"/>
          <c:showSerName val="0"/>
          <c:showPercent val="0"/>
          <c:showBubbleSize val="0"/>
        </c:dLbls>
        <c:gapWidth val="150"/>
        <c:shape val="box"/>
        <c:axId val="128185088"/>
        <c:axId val="128186624"/>
        <c:axId val="0"/>
      </c:bar3DChart>
      <c:catAx>
        <c:axId val="128185088"/>
        <c:scaling>
          <c:orientation val="minMax"/>
        </c:scaling>
        <c:delete val="0"/>
        <c:axPos val="b"/>
        <c:numFmt formatCode="General" sourceLinked="1"/>
        <c:majorTickMark val="none"/>
        <c:minorTickMark val="none"/>
        <c:tickLblPos val="nextTo"/>
        <c:spPr>
          <a:noFill/>
        </c:spPr>
        <c:txPr>
          <a:bodyPr rot="0" anchor="t" anchorCtr="0"/>
          <a:lstStyle/>
          <a:p>
            <a:pPr>
              <a:defRPr sz="900" b="0" baseline="0">
                <a:solidFill>
                  <a:sysClr val="windowText" lastClr="000000"/>
                </a:solidFill>
                <a:latin typeface="Arial" panose="020B0604020202020204" pitchFamily="34" charset="0"/>
                <a:ea typeface="Open Sans" panose="020B0606030504020204" pitchFamily="34" charset="0"/>
                <a:cs typeface="Arial" panose="020B0604020202020204" pitchFamily="34" charset="0"/>
              </a:defRPr>
            </a:pPr>
            <a:endParaRPr lang="en-US"/>
          </a:p>
        </c:txPr>
        <c:crossAx val="128186624"/>
        <c:crosses val="autoZero"/>
        <c:auto val="1"/>
        <c:lblAlgn val="ctr"/>
        <c:lblOffset val="100"/>
        <c:noMultiLvlLbl val="0"/>
      </c:catAx>
      <c:valAx>
        <c:axId val="128186624"/>
        <c:scaling>
          <c:orientation val="minMax"/>
        </c:scaling>
        <c:delete val="0"/>
        <c:axPos val="l"/>
        <c:majorGridlines>
          <c:spPr>
            <a:ln>
              <a:solidFill>
                <a:srgbClr val="53565A"/>
              </a:solidFill>
            </a:ln>
          </c:spPr>
        </c:majorGridlines>
        <c:numFmt formatCode="&quot;$&quot;#,##0" sourceLinked="1"/>
        <c:majorTickMark val="none"/>
        <c:minorTickMark val="none"/>
        <c:tickLblPos val="nextTo"/>
        <c:spPr>
          <a:ln>
            <a:solidFill>
              <a:srgbClr val="53565A"/>
            </a:solidFill>
          </a:ln>
        </c:spPr>
        <c:txPr>
          <a:bodyPr/>
          <a:lstStyle/>
          <a:p>
            <a:pPr>
              <a:defRPr sz="900" baseline="0">
                <a:latin typeface="Arial" panose="020B0604020202020204" pitchFamily="34" charset="0"/>
                <a:ea typeface="Open Sans" panose="020B0606030504020204" pitchFamily="34" charset="0"/>
                <a:cs typeface="Arial" panose="020B0604020202020204" pitchFamily="34" charset="0"/>
              </a:defRPr>
            </a:pPr>
            <a:endParaRPr lang="en-US"/>
          </a:p>
        </c:txPr>
        <c:crossAx val="128185088"/>
        <c:crosses val="autoZero"/>
        <c:crossBetween val="between"/>
      </c:valAx>
      <c:spPr>
        <a:noFill/>
        <a:ln>
          <a:noFill/>
        </a:ln>
      </c:spPr>
    </c:plotArea>
    <c:plotVisOnly val="1"/>
    <c:dispBlanksAs val="gap"/>
    <c:showDLblsOverMax val="0"/>
  </c:chart>
  <c:spPr>
    <a:noFill/>
    <a:ln>
      <a:solidFill>
        <a:srgbClr val="53565A"/>
      </a:solidFill>
    </a:ln>
  </c:spPr>
  <c:printSettings>
    <c:headerFooter/>
    <c:pageMargins b="0.75" l="0.7" r="0.7" t="0.75" header="0.3" footer="0.3"/>
    <c:pageSetup orientation="portrait"/>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34"/>
    </mc:Choice>
    <mc:Fallback>
      <c:style val="34"/>
    </mc:Fallback>
  </mc:AlternateContent>
  <c:clrMapOvr bg1="lt1" tx1="dk1" bg2="lt2" tx2="dk2" accent1="accent1" accent2="accent2" accent3="accent3" accent4="accent4" accent5="accent5" accent6="accent6" hlink="hlink" folHlink="folHlink"/>
  <c:chart>
    <c:title>
      <c:tx>
        <c:rich>
          <a:bodyPr/>
          <a:lstStyle/>
          <a:p>
            <a:pPr>
              <a:defRPr sz="1400" b="0">
                <a:solidFill>
                  <a:srgbClr val="53565A"/>
                </a:solidFill>
                <a:latin typeface="Arial" panose="020B0604020202020204" pitchFamily="34" charset="0"/>
                <a:ea typeface="Open Sans Semibold" panose="020B0706030804020204" pitchFamily="34" charset="0"/>
                <a:cs typeface="Arial" panose="020B0604020202020204" pitchFamily="34" charset="0"/>
              </a:defRPr>
            </a:pPr>
            <a:r>
              <a:rPr lang="en-US">
                <a:latin typeface="Arial" panose="020B0604020202020204" pitchFamily="34" charset="0"/>
                <a:cs typeface="Arial" panose="020B0604020202020204" pitchFamily="34" charset="0"/>
              </a:rPr>
              <a:t>Transfers (5200)</a:t>
            </a:r>
          </a:p>
        </c:rich>
      </c:tx>
      <c:layout>
        <c:manualLayout>
          <c:xMode val="edge"/>
          <c:yMode val="edge"/>
          <c:x val="0.42131169120748341"/>
          <c:y val="4.3923622008105977E-2"/>
        </c:manualLayout>
      </c:layout>
      <c:overlay val="0"/>
    </c:title>
    <c:autoTitleDeleted val="0"/>
    <c:view3D>
      <c:rotX val="15"/>
      <c:rotY val="20"/>
      <c:depthPercent val="100"/>
      <c:rAngAx val="1"/>
    </c:view3D>
    <c:floor>
      <c:thickness val="0"/>
      <c:spPr>
        <a:gradFill flip="none" rotWithShape="1">
          <a:gsLst>
            <a:gs pos="0">
              <a:srgbClr val="12284C">
                <a:lumMod val="5000"/>
                <a:lumOff val="95000"/>
              </a:srgbClr>
            </a:gs>
            <a:gs pos="74000">
              <a:srgbClr val="12284C">
                <a:lumMod val="45000"/>
                <a:lumOff val="55000"/>
              </a:srgbClr>
            </a:gs>
            <a:gs pos="83000">
              <a:srgbClr val="12284C">
                <a:lumMod val="45000"/>
                <a:lumOff val="55000"/>
              </a:srgbClr>
            </a:gs>
            <a:gs pos="100000">
              <a:srgbClr val="12284C">
                <a:lumMod val="30000"/>
                <a:lumOff val="70000"/>
              </a:srgbClr>
            </a:gs>
          </a:gsLst>
          <a:path path="circle">
            <a:fillToRect l="100000" t="100000"/>
          </a:path>
          <a:tileRect r="-100000" b="-100000"/>
        </a:gradFill>
        <a:ln>
          <a:solidFill>
            <a:srgbClr val="12284C"/>
          </a:solidFill>
        </a:ln>
      </c:spPr>
    </c:floor>
    <c:sideWall>
      <c:thickness val="0"/>
      <c:spPr>
        <a:gradFill flip="none" rotWithShape="1">
          <a:gsLst>
            <a:gs pos="0">
              <a:srgbClr val="12284C">
                <a:lumMod val="5000"/>
                <a:lumOff val="95000"/>
              </a:srgbClr>
            </a:gs>
            <a:gs pos="74000">
              <a:srgbClr val="12284C">
                <a:lumMod val="45000"/>
                <a:lumOff val="55000"/>
              </a:srgbClr>
            </a:gs>
            <a:gs pos="83000">
              <a:srgbClr val="12284C">
                <a:lumMod val="45000"/>
                <a:lumOff val="55000"/>
              </a:srgbClr>
            </a:gs>
            <a:gs pos="100000">
              <a:srgbClr val="12284C">
                <a:lumMod val="30000"/>
                <a:lumOff val="70000"/>
              </a:srgbClr>
            </a:gs>
          </a:gsLst>
          <a:path path="circle">
            <a:fillToRect l="100000" t="100000"/>
          </a:path>
          <a:tileRect r="-100000" b="-100000"/>
        </a:gradFill>
        <a:ln>
          <a:solidFill>
            <a:srgbClr val="12284C"/>
          </a:solidFill>
        </a:ln>
      </c:spPr>
    </c:sideWall>
    <c:backWall>
      <c:thickness val="0"/>
      <c:spPr>
        <a:gradFill flip="none" rotWithShape="1">
          <a:gsLst>
            <a:gs pos="0">
              <a:srgbClr val="12284C">
                <a:lumMod val="5000"/>
                <a:lumOff val="95000"/>
              </a:srgbClr>
            </a:gs>
            <a:gs pos="74000">
              <a:srgbClr val="12284C">
                <a:lumMod val="45000"/>
                <a:lumOff val="55000"/>
              </a:srgbClr>
            </a:gs>
            <a:gs pos="83000">
              <a:srgbClr val="12284C">
                <a:lumMod val="45000"/>
                <a:lumOff val="55000"/>
              </a:srgbClr>
            </a:gs>
            <a:gs pos="100000">
              <a:srgbClr val="12284C">
                <a:lumMod val="30000"/>
                <a:lumOff val="70000"/>
              </a:srgbClr>
            </a:gs>
          </a:gsLst>
          <a:path path="circle">
            <a:fillToRect l="100000" t="100000"/>
          </a:path>
          <a:tileRect r="-100000" b="-100000"/>
        </a:gradFill>
        <a:ln>
          <a:solidFill>
            <a:srgbClr val="12284C"/>
          </a:solidFill>
        </a:ln>
      </c:spPr>
    </c:backWall>
    <c:plotArea>
      <c:layout>
        <c:manualLayout>
          <c:layoutTarget val="inner"/>
          <c:xMode val="edge"/>
          <c:yMode val="edge"/>
          <c:x val="3.0575644109563874E-2"/>
          <c:y val="0.16386807517302321"/>
          <c:w val="0.96942435589043607"/>
          <c:h val="0.72190394631117549"/>
        </c:manualLayout>
      </c:layout>
      <c:bar3DChart>
        <c:barDir val="col"/>
        <c:grouping val="clustered"/>
        <c:varyColors val="0"/>
        <c:ser>
          <c:idx val="0"/>
          <c:order val="0"/>
          <c:tx>
            <c:v>Transfers (5200)</c:v>
          </c:tx>
          <c:spPr>
            <a:solidFill>
              <a:srgbClr val="FFA400"/>
            </a:solidFill>
            <a:ln>
              <a:solidFill>
                <a:srgbClr val="D28700"/>
              </a:solidFill>
            </a:ln>
          </c:spPr>
          <c:invertIfNegative val="0"/>
          <c:dPt>
            <c:idx val="1"/>
            <c:invertIfNegative val="0"/>
            <c:bubble3D val="0"/>
            <c:spPr>
              <a:solidFill>
                <a:srgbClr val="00B796"/>
              </a:solidFill>
              <a:ln>
                <a:solidFill>
                  <a:srgbClr val="008269"/>
                </a:solidFill>
              </a:ln>
            </c:spPr>
            <c:extLst>
              <c:ext xmlns:c16="http://schemas.microsoft.com/office/drawing/2014/chart" uri="{C3380CC4-5D6E-409C-BE32-E72D297353CC}">
                <c16:uniqueId val="{00000003-EA90-4AD3-ABE4-5B34F4836766}"/>
              </c:ext>
            </c:extLst>
          </c:dPt>
          <c:dPt>
            <c:idx val="2"/>
            <c:invertIfNegative val="0"/>
            <c:bubble3D val="0"/>
            <c:spPr>
              <a:solidFill>
                <a:srgbClr val="B7312C"/>
              </a:solidFill>
              <a:ln>
                <a:solidFill>
                  <a:srgbClr val="7F241F"/>
                </a:solidFill>
              </a:ln>
            </c:spPr>
            <c:extLst>
              <c:ext xmlns:c16="http://schemas.microsoft.com/office/drawing/2014/chart" uri="{C3380CC4-5D6E-409C-BE32-E72D297353CC}">
                <c16:uniqueId val="{00000004-EA90-4AD3-ABE4-5B34F4836766}"/>
              </c:ext>
            </c:extLst>
          </c:dPt>
          <c:dPt>
            <c:idx val="3"/>
            <c:invertIfNegative val="0"/>
            <c:bubble3D val="0"/>
            <c:spPr>
              <a:solidFill>
                <a:srgbClr val="005587"/>
              </a:solidFill>
              <a:ln>
                <a:solidFill>
                  <a:srgbClr val="12284C"/>
                </a:solidFill>
              </a:ln>
            </c:spPr>
            <c:extLst>
              <c:ext xmlns:c16="http://schemas.microsoft.com/office/drawing/2014/chart" uri="{C3380CC4-5D6E-409C-BE32-E72D297353CC}">
                <c16:uniqueId val="{00000005-D4E3-40AF-8345-71890A74772B}"/>
              </c:ext>
            </c:extLst>
          </c:dPt>
          <c:dPt>
            <c:idx val="4"/>
            <c:invertIfNegative val="0"/>
            <c:bubble3D val="0"/>
            <c:spPr>
              <a:solidFill>
                <a:srgbClr val="53565A"/>
              </a:solidFill>
              <a:ln>
                <a:solidFill>
                  <a:srgbClr val="383A3C"/>
                </a:solidFill>
              </a:ln>
            </c:spPr>
            <c:extLst>
              <c:ext xmlns:c16="http://schemas.microsoft.com/office/drawing/2014/chart" uri="{C3380CC4-5D6E-409C-BE32-E72D297353CC}">
                <c16:uniqueId val="{00000006-D4E3-40AF-8345-71890A74772B}"/>
              </c:ext>
            </c:extLst>
          </c:dPt>
          <c:dLbls>
            <c:dLbl>
              <c:idx val="0"/>
              <c:layout>
                <c:manualLayout>
                  <c:x val="1.0132073464371864E-2"/>
                  <c:y val="-3.8826413992771473E-2"/>
                </c:manualLayout>
              </c:layout>
              <c:spPr>
                <a:noFill/>
                <a:ln>
                  <a:noFill/>
                </a:ln>
                <a:effectLst/>
              </c:spPr>
              <c:txPr>
                <a:bodyPr vertOverflow="clip" horzOverflow="clip" wrap="square" lIns="38100" tIns="19050" rIns="38100" bIns="19050" anchor="ctr" anchorCtr="0">
                  <a:spAutoFit/>
                </a:bodyPr>
                <a:lstStyle/>
                <a:p>
                  <a:pPr algn="l">
                    <a:defRPr sz="900">
                      <a:latin typeface="Arial" panose="020B0604020202020204" pitchFamily="34" charset="0"/>
                      <a:ea typeface="Open Sans Light" panose="020B0306030504020204" pitchFamily="34" charset="0"/>
                      <a:cs typeface="Arial" panose="020B0604020202020204" pitchFamily="34" charset="0"/>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B89A-43E1-B6B0-9C74BAE5742A}"/>
                </c:ext>
              </c:extLst>
            </c:dLbl>
            <c:dLbl>
              <c:idx val="1"/>
              <c:layout>
                <c:manualLayout>
                  <c:x val="1.5129283485714557E-2"/>
                  <c:y val="-4.8005172389448875E-2"/>
                </c:manualLayout>
              </c:layout>
              <c:spPr>
                <a:noFill/>
                <a:ln>
                  <a:noFill/>
                </a:ln>
                <a:effectLst/>
              </c:spPr>
              <c:txPr>
                <a:bodyPr vertOverflow="clip" horzOverflow="clip" wrap="none" lIns="38100" tIns="19050" rIns="38100" bIns="19050" anchor="ctr" anchorCtr="0">
                  <a:spAutoFit/>
                </a:bodyPr>
                <a:lstStyle/>
                <a:p>
                  <a:pPr algn="l">
                    <a:defRPr sz="900">
                      <a:latin typeface="Arial" panose="020B0604020202020204" pitchFamily="34" charset="0"/>
                      <a:ea typeface="Open Sans Light" panose="020B0306030504020204" pitchFamily="34" charset="0"/>
                      <a:cs typeface="Arial" panose="020B0604020202020204" pitchFamily="34" charset="0"/>
                    </a:defRPr>
                  </a:pPr>
                  <a:endParaRPr lang="en-US"/>
                </a:p>
              </c:txP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3-EA90-4AD3-ABE4-5B34F4836766}"/>
                </c:ext>
              </c:extLst>
            </c:dLbl>
            <c:dLbl>
              <c:idx val="2"/>
              <c:layout>
                <c:manualLayout>
                  <c:x val="1.3026819748704328E-2"/>
                  <c:y val="-1.5037589533600872E-2"/>
                </c:manualLayout>
              </c:layout>
              <c:spPr>
                <a:noFill/>
                <a:ln>
                  <a:noFill/>
                </a:ln>
                <a:effectLst/>
              </c:spPr>
              <c:txPr>
                <a:bodyPr vertOverflow="clip" horzOverflow="clip" wrap="square" lIns="38100" tIns="19050" rIns="38100" bIns="19050" anchor="ctr" anchorCtr="0">
                  <a:spAutoFit/>
                </a:bodyPr>
                <a:lstStyle/>
                <a:p>
                  <a:pPr algn="l">
                    <a:defRPr sz="900">
                      <a:latin typeface="Arial" panose="020B0604020202020204" pitchFamily="34" charset="0"/>
                      <a:ea typeface="Open Sans Light" panose="020B0306030504020204" pitchFamily="34" charset="0"/>
                      <a:cs typeface="Arial" panose="020B0604020202020204" pitchFamily="34" charset="0"/>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EA90-4AD3-ABE4-5B34F4836766}"/>
                </c:ext>
              </c:extLst>
            </c:dLbl>
            <c:dLbl>
              <c:idx val="3"/>
              <c:layout>
                <c:manualLayout>
                  <c:x val="1.1579395332181518E-2"/>
                  <c:y val="-2.631578168380152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D4E3-40AF-8345-71890A74772B}"/>
                </c:ext>
              </c:extLst>
            </c:dLbl>
            <c:dLbl>
              <c:idx val="4"/>
              <c:layout>
                <c:manualLayout>
                  <c:x val="1.158161418747738E-2"/>
                  <c:y val="-2.674156309700396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D4E3-40AF-8345-71890A74772B}"/>
                </c:ext>
              </c:extLst>
            </c:dLbl>
            <c:spPr>
              <a:noFill/>
              <a:ln>
                <a:noFill/>
              </a:ln>
              <a:effectLst/>
            </c:spPr>
            <c:txPr>
              <a:bodyPr wrap="square" lIns="38100" tIns="19050" rIns="38100" bIns="19050" anchor="ctr" anchorCtr="0">
                <a:spAutoFit/>
              </a:bodyPr>
              <a:lstStyle/>
              <a:p>
                <a:pPr algn="l">
                  <a:defRPr sz="900">
                    <a:latin typeface="Arial" panose="020B0604020202020204" pitchFamily="34" charset="0"/>
                    <a:ea typeface="Open Sans Light" panose="020B0306030504020204" pitchFamily="34" charset="0"/>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SUMEXPEN!$P$1204:$R$1204</c:f>
              <c:strCache>
                <c:ptCount val="3"/>
                <c:pt idx="0">
                  <c:v>2023-2024</c:v>
                </c:pt>
                <c:pt idx="1">
                  <c:v>2024-2025</c:v>
                </c:pt>
                <c:pt idx="2">
                  <c:v>2025-2026</c:v>
                </c:pt>
              </c:strCache>
            </c:strRef>
          </c:cat>
          <c:val>
            <c:numRef>
              <c:f>SUMEXPEN!$P$1205:$R$1205</c:f>
              <c:numCache>
                <c:formatCode>"$"#,##0</c:formatCode>
                <c:ptCount val="3"/>
                <c:pt idx="0">
                  <c:v>565812</c:v>
                </c:pt>
                <c:pt idx="1">
                  <c:v>515924</c:v>
                </c:pt>
                <c:pt idx="2">
                  <c:v>380264</c:v>
                </c:pt>
              </c:numCache>
            </c:numRef>
          </c:val>
          <c:shape val="pyramid"/>
          <c:extLst>
            <c:ext xmlns:c16="http://schemas.microsoft.com/office/drawing/2014/chart" uri="{C3380CC4-5D6E-409C-BE32-E72D297353CC}">
              <c16:uniqueId val="{00000000-03ED-42F9-B639-8C83BB0EB494}"/>
            </c:ext>
          </c:extLst>
        </c:ser>
        <c:dLbls>
          <c:showLegendKey val="0"/>
          <c:showVal val="1"/>
          <c:showCatName val="0"/>
          <c:showSerName val="0"/>
          <c:showPercent val="0"/>
          <c:showBubbleSize val="0"/>
        </c:dLbls>
        <c:gapWidth val="150"/>
        <c:shape val="box"/>
        <c:axId val="128185088"/>
        <c:axId val="128186624"/>
        <c:axId val="0"/>
      </c:bar3DChart>
      <c:catAx>
        <c:axId val="128185088"/>
        <c:scaling>
          <c:orientation val="minMax"/>
        </c:scaling>
        <c:delete val="0"/>
        <c:axPos val="b"/>
        <c:numFmt formatCode="General" sourceLinked="1"/>
        <c:majorTickMark val="none"/>
        <c:minorTickMark val="none"/>
        <c:tickLblPos val="nextTo"/>
        <c:spPr>
          <a:noFill/>
        </c:spPr>
        <c:txPr>
          <a:bodyPr rot="0" anchor="t" anchorCtr="0"/>
          <a:lstStyle/>
          <a:p>
            <a:pPr>
              <a:defRPr sz="900" b="0" baseline="0">
                <a:solidFill>
                  <a:sysClr val="windowText" lastClr="000000"/>
                </a:solidFill>
                <a:latin typeface="Arial" panose="020B0604020202020204" pitchFamily="34" charset="0"/>
                <a:ea typeface="Open Sans" panose="020B0606030504020204" pitchFamily="34" charset="0"/>
                <a:cs typeface="Arial" panose="020B0604020202020204" pitchFamily="34" charset="0"/>
              </a:defRPr>
            </a:pPr>
            <a:endParaRPr lang="en-US"/>
          </a:p>
        </c:txPr>
        <c:crossAx val="128186624"/>
        <c:crosses val="autoZero"/>
        <c:auto val="1"/>
        <c:lblAlgn val="ctr"/>
        <c:lblOffset val="100"/>
        <c:noMultiLvlLbl val="0"/>
      </c:catAx>
      <c:valAx>
        <c:axId val="128186624"/>
        <c:scaling>
          <c:orientation val="minMax"/>
        </c:scaling>
        <c:delete val="0"/>
        <c:axPos val="l"/>
        <c:majorGridlines>
          <c:spPr>
            <a:ln>
              <a:solidFill>
                <a:srgbClr val="53565A"/>
              </a:solidFill>
            </a:ln>
          </c:spPr>
        </c:majorGridlines>
        <c:numFmt formatCode="&quot;$&quot;#,##0" sourceLinked="1"/>
        <c:majorTickMark val="none"/>
        <c:minorTickMark val="none"/>
        <c:tickLblPos val="nextTo"/>
        <c:spPr>
          <a:ln>
            <a:solidFill>
              <a:srgbClr val="53565A"/>
            </a:solidFill>
          </a:ln>
        </c:spPr>
        <c:txPr>
          <a:bodyPr/>
          <a:lstStyle/>
          <a:p>
            <a:pPr>
              <a:defRPr sz="900" baseline="0">
                <a:latin typeface="Arial" panose="020B0604020202020204" pitchFamily="34" charset="0"/>
                <a:ea typeface="Open Sans" panose="020B0606030504020204" pitchFamily="34" charset="0"/>
                <a:cs typeface="Arial" panose="020B0604020202020204" pitchFamily="34" charset="0"/>
              </a:defRPr>
            </a:pPr>
            <a:endParaRPr lang="en-US"/>
          </a:p>
        </c:txPr>
        <c:crossAx val="128185088"/>
        <c:crosses val="autoZero"/>
        <c:crossBetween val="between"/>
      </c:valAx>
      <c:spPr>
        <a:noFill/>
        <a:ln>
          <a:noFill/>
        </a:ln>
      </c:spPr>
    </c:plotArea>
    <c:plotVisOnly val="1"/>
    <c:dispBlanksAs val="gap"/>
    <c:showDLblsOverMax val="0"/>
  </c:chart>
  <c:spPr>
    <a:noFill/>
    <a:ln>
      <a:solidFill>
        <a:srgbClr val="53565A"/>
      </a:solidFill>
    </a:ln>
  </c:spPr>
  <c:printSettings>
    <c:headerFooter/>
    <c:pageMargins b="0.75" l="0.7" r="0.7" t="0.75" header="0.3" footer="0.3"/>
    <c:pageSetup orientation="portrait"/>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34"/>
    </mc:Choice>
    <mc:Fallback>
      <c:style val="34"/>
    </mc:Fallback>
  </mc:AlternateContent>
  <c:clrMapOvr bg1="lt1" tx1="dk1" bg2="lt2" tx2="dk2" accent1="accent1" accent2="accent2" accent3="accent3" accent4="accent4" accent5="accent5" accent6="accent6" hlink="hlink" folHlink="folHlink"/>
  <c:chart>
    <c:title>
      <c:tx>
        <c:rich>
          <a:bodyPr/>
          <a:lstStyle/>
          <a:p>
            <a:pPr>
              <a:defRPr sz="1400" b="0">
                <a:solidFill>
                  <a:srgbClr val="53565A"/>
                </a:solidFill>
                <a:latin typeface="Arial" panose="020B0604020202020204" pitchFamily="34" charset="0"/>
                <a:ea typeface="Open Sans Semibold" panose="020B0706030804020204" pitchFamily="34" charset="0"/>
                <a:cs typeface="Arial" panose="020B0604020202020204" pitchFamily="34" charset="0"/>
              </a:defRPr>
            </a:pPr>
            <a:r>
              <a:rPr lang="en-US">
                <a:solidFill>
                  <a:srgbClr val="00B796"/>
                </a:solidFill>
                <a:latin typeface="Arial" panose="020B0604020202020204" pitchFamily="34" charset="0"/>
                <a:cs typeface="Arial" panose="020B0604020202020204" pitchFamily="34" charset="0"/>
              </a:rPr>
              <a:t>Unencumbered Cash Balances by Fund</a:t>
            </a:r>
          </a:p>
        </c:rich>
      </c:tx>
      <c:layout>
        <c:manualLayout>
          <c:xMode val="edge"/>
          <c:yMode val="edge"/>
          <c:x val="0.34079309687107945"/>
          <c:y val="4.3923768154309505E-2"/>
        </c:manualLayout>
      </c:layout>
      <c:overlay val="0"/>
    </c:title>
    <c:autoTitleDeleted val="0"/>
    <c:view3D>
      <c:rotX val="15"/>
      <c:rotY val="20"/>
      <c:depthPercent val="100"/>
      <c:rAngAx val="1"/>
    </c:view3D>
    <c:floor>
      <c:thickness val="0"/>
      <c:spPr>
        <a:gradFill flip="none" rotWithShape="1">
          <a:gsLst>
            <a:gs pos="0">
              <a:srgbClr val="12284C">
                <a:lumMod val="5000"/>
                <a:lumOff val="95000"/>
              </a:srgbClr>
            </a:gs>
            <a:gs pos="74000">
              <a:srgbClr val="12284C">
                <a:lumMod val="45000"/>
                <a:lumOff val="55000"/>
              </a:srgbClr>
            </a:gs>
            <a:gs pos="83000">
              <a:srgbClr val="12284C">
                <a:lumMod val="45000"/>
                <a:lumOff val="55000"/>
              </a:srgbClr>
            </a:gs>
            <a:gs pos="100000">
              <a:srgbClr val="12284C">
                <a:lumMod val="30000"/>
                <a:lumOff val="70000"/>
              </a:srgbClr>
            </a:gs>
          </a:gsLst>
          <a:path path="circle">
            <a:fillToRect l="100000" t="100000"/>
          </a:path>
          <a:tileRect r="-100000" b="-100000"/>
        </a:gradFill>
        <a:ln>
          <a:solidFill>
            <a:srgbClr val="12284C"/>
          </a:solidFill>
        </a:ln>
      </c:spPr>
    </c:floor>
    <c:sideWall>
      <c:thickness val="0"/>
      <c:spPr>
        <a:gradFill flip="none" rotWithShape="1">
          <a:gsLst>
            <a:gs pos="0">
              <a:srgbClr val="12284C">
                <a:lumMod val="5000"/>
                <a:lumOff val="95000"/>
              </a:srgbClr>
            </a:gs>
            <a:gs pos="74000">
              <a:srgbClr val="12284C">
                <a:lumMod val="45000"/>
                <a:lumOff val="55000"/>
              </a:srgbClr>
            </a:gs>
            <a:gs pos="83000">
              <a:srgbClr val="12284C">
                <a:lumMod val="45000"/>
                <a:lumOff val="55000"/>
              </a:srgbClr>
            </a:gs>
            <a:gs pos="100000">
              <a:srgbClr val="12284C">
                <a:lumMod val="30000"/>
                <a:lumOff val="70000"/>
              </a:srgbClr>
            </a:gs>
          </a:gsLst>
          <a:path path="circle">
            <a:fillToRect l="100000" t="100000"/>
          </a:path>
          <a:tileRect r="-100000" b="-100000"/>
        </a:gradFill>
        <a:ln>
          <a:solidFill>
            <a:srgbClr val="12284C"/>
          </a:solidFill>
        </a:ln>
      </c:spPr>
    </c:sideWall>
    <c:backWall>
      <c:thickness val="0"/>
      <c:spPr>
        <a:gradFill flip="none" rotWithShape="1">
          <a:gsLst>
            <a:gs pos="0">
              <a:srgbClr val="12284C">
                <a:lumMod val="5000"/>
                <a:lumOff val="95000"/>
              </a:srgbClr>
            </a:gs>
            <a:gs pos="74000">
              <a:srgbClr val="12284C">
                <a:lumMod val="45000"/>
                <a:lumOff val="55000"/>
              </a:srgbClr>
            </a:gs>
            <a:gs pos="83000">
              <a:srgbClr val="12284C">
                <a:lumMod val="45000"/>
                <a:lumOff val="55000"/>
              </a:srgbClr>
            </a:gs>
            <a:gs pos="100000">
              <a:srgbClr val="12284C">
                <a:lumMod val="30000"/>
                <a:lumOff val="70000"/>
              </a:srgbClr>
            </a:gs>
          </a:gsLst>
          <a:path path="circle">
            <a:fillToRect l="100000" t="100000"/>
          </a:path>
          <a:tileRect r="-100000" b="-100000"/>
        </a:gradFill>
        <a:ln>
          <a:solidFill>
            <a:srgbClr val="12284C"/>
          </a:solidFill>
        </a:ln>
      </c:spPr>
    </c:backWall>
    <c:plotArea>
      <c:layout>
        <c:manualLayout>
          <c:layoutTarget val="inner"/>
          <c:xMode val="edge"/>
          <c:yMode val="edge"/>
          <c:x val="3.0575644109563874E-2"/>
          <c:y val="0.16386807517302321"/>
          <c:w val="0.96942435589043607"/>
          <c:h val="0.72190394631117549"/>
        </c:manualLayout>
      </c:layout>
      <c:bar3DChart>
        <c:barDir val="col"/>
        <c:grouping val="clustered"/>
        <c:varyColors val="0"/>
        <c:ser>
          <c:idx val="0"/>
          <c:order val="0"/>
          <c:tx>
            <c:v>Unencumbered Cash Balances</c:v>
          </c:tx>
          <c:spPr>
            <a:solidFill>
              <a:srgbClr val="FFA400"/>
            </a:solidFill>
            <a:ln>
              <a:solidFill>
                <a:srgbClr val="D28700"/>
              </a:solidFill>
            </a:ln>
          </c:spPr>
          <c:invertIfNegative val="0"/>
          <c:dPt>
            <c:idx val="1"/>
            <c:invertIfNegative val="0"/>
            <c:bubble3D val="0"/>
            <c:spPr>
              <a:solidFill>
                <a:srgbClr val="00B796"/>
              </a:solidFill>
              <a:ln>
                <a:solidFill>
                  <a:srgbClr val="008269"/>
                </a:solidFill>
              </a:ln>
            </c:spPr>
            <c:extLst>
              <c:ext xmlns:c16="http://schemas.microsoft.com/office/drawing/2014/chart" uri="{C3380CC4-5D6E-409C-BE32-E72D297353CC}">
                <c16:uniqueId val="{00000003-EA90-4AD3-ABE4-5B34F4836766}"/>
              </c:ext>
            </c:extLst>
          </c:dPt>
          <c:dPt>
            <c:idx val="2"/>
            <c:invertIfNegative val="0"/>
            <c:bubble3D val="0"/>
            <c:spPr>
              <a:solidFill>
                <a:srgbClr val="B7312C"/>
              </a:solidFill>
              <a:ln>
                <a:solidFill>
                  <a:srgbClr val="7F241F"/>
                </a:solidFill>
              </a:ln>
            </c:spPr>
            <c:extLst>
              <c:ext xmlns:c16="http://schemas.microsoft.com/office/drawing/2014/chart" uri="{C3380CC4-5D6E-409C-BE32-E72D297353CC}">
                <c16:uniqueId val="{00000004-EA90-4AD3-ABE4-5B34F4836766}"/>
              </c:ext>
            </c:extLst>
          </c:dPt>
          <c:dPt>
            <c:idx val="3"/>
            <c:invertIfNegative val="0"/>
            <c:bubble3D val="0"/>
            <c:spPr>
              <a:solidFill>
                <a:srgbClr val="005587"/>
              </a:solidFill>
              <a:ln>
                <a:solidFill>
                  <a:srgbClr val="12284C"/>
                </a:solidFill>
              </a:ln>
            </c:spPr>
            <c:extLst>
              <c:ext xmlns:c16="http://schemas.microsoft.com/office/drawing/2014/chart" uri="{C3380CC4-5D6E-409C-BE32-E72D297353CC}">
                <c16:uniqueId val="{00000005-D4E3-40AF-8345-71890A74772B}"/>
              </c:ext>
            </c:extLst>
          </c:dPt>
          <c:dPt>
            <c:idx val="4"/>
            <c:invertIfNegative val="0"/>
            <c:bubble3D val="0"/>
            <c:spPr>
              <a:solidFill>
                <a:srgbClr val="53565A"/>
              </a:solidFill>
              <a:ln>
                <a:solidFill>
                  <a:srgbClr val="383A3C"/>
                </a:solidFill>
              </a:ln>
            </c:spPr>
            <c:extLst>
              <c:ext xmlns:c16="http://schemas.microsoft.com/office/drawing/2014/chart" uri="{C3380CC4-5D6E-409C-BE32-E72D297353CC}">
                <c16:uniqueId val="{00000006-D4E3-40AF-8345-71890A74772B}"/>
              </c:ext>
            </c:extLst>
          </c:dPt>
          <c:dLbls>
            <c:dLbl>
              <c:idx val="0"/>
              <c:layout>
                <c:manualLayout>
                  <c:x val="1.0132073464371864E-2"/>
                  <c:y val="-3.8826413992771473E-2"/>
                </c:manualLayout>
              </c:layout>
              <c:spPr>
                <a:noFill/>
                <a:ln>
                  <a:noFill/>
                </a:ln>
                <a:effectLst/>
              </c:spPr>
              <c:txPr>
                <a:bodyPr vertOverflow="clip" horzOverflow="clip" wrap="square" lIns="38100" tIns="19050" rIns="38100" bIns="19050" anchor="ctr" anchorCtr="0">
                  <a:spAutoFit/>
                </a:bodyPr>
                <a:lstStyle/>
                <a:p>
                  <a:pPr algn="l">
                    <a:defRPr sz="900">
                      <a:latin typeface="Arial" panose="020B0604020202020204" pitchFamily="34" charset="0"/>
                      <a:ea typeface="Open Sans Light" panose="020B0306030504020204" pitchFamily="34" charset="0"/>
                      <a:cs typeface="Arial" panose="020B0604020202020204" pitchFamily="34" charset="0"/>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B89A-43E1-B6B0-9C74BAE5742A}"/>
                </c:ext>
              </c:extLst>
            </c:dLbl>
            <c:dLbl>
              <c:idx val="1"/>
              <c:layout>
                <c:manualLayout>
                  <c:x val="1.5129283485714557E-2"/>
                  <c:y val="-4.8005172389448875E-2"/>
                </c:manualLayout>
              </c:layout>
              <c:spPr>
                <a:noFill/>
                <a:ln>
                  <a:noFill/>
                </a:ln>
                <a:effectLst/>
              </c:spPr>
              <c:txPr>
                <a:bodyPr vertOverflow="clip" horzOverflow="clip" wrap="none" lIns="38100" tIns="19050" rIns="38100" bIns="19050" anchor="ctr" anchorCtr="0">
                  <a:spAutoFit/>
                </a:bodyPr>
                <a:lstStyle/>
                <a:p>
                  <a:pPr algn="l">
                    <a:defRPr sz="900">
                      <a:latin typeface="Arial" panose="020B0604020202020204" pitchFamily="34" charset="0"/>
                      <a:ea typeface="Open Sans Light" panose="020B0306030504020204" pitchFamily="34" charset="0"/>
                      <a:cs typeface="Arial" panose="020B0604020202020204" pitchFamily="34" charset="0"/>
                    </a:defRPr>
                  </a:pPr>
                  <a:endParaRPr lang="en-US"/>
                </a:p>
              </c:txP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3-EA90-4AD3-ABE4-5B34F4836766}"/>
                </c:ext>
              </c:extLst>
            </c:dLbl>
            <c:dLbl>
              <c:idx val="2"/>
              <c:layout>
                <c:manualLayout>
                  <c:x val="1.3026819748704328E-2"/>
                  <c:y val="-1.5037589533600872E-2"/>
                </c:manualLayout>
              </c:layout>
              <c:spPr>
                <a:noFill/>
                <a:ln>
                  <a:noFill/>
                </a:ln>
                <a:effectLst/>
              </c:spPr>
              <c:txPr>
                <a:bodyPr vertOverflow="clip" horzOverflow="clip" wrap="square" lIns="38100" tIns="19050" rIns="38100" bIns="19050" anchor="ctr" anchorCtr="0">
                  <a:spAutoFit/>
                </a:bodyPr>
                <a:lstStyle/>
                <a:p>
                  <a:pPr algn="l">
                    <a:defRPr sz="900">
                      <a:latin typeface="Arial" panose="020B0604020202020204" pitchFamily="34" charset="0"/>
                      <a:ea typeface="Open Sans Light" panose="020B0306030504020204" pitchFamily="34" charset="0"/>
                      <a:cs typeface="Arial" panose="020B0604020202020204" pitchFamily="34" charset="0"/>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EA90-4AD3-ABE4-5B34F4836766}"/>
                </c:ext>
              </c:extLst>
            </c:dLbl>
            <c:dLbl>
              <c:idx val="3"/>
              <c:layout>
                <c:manualLayout>
                  <c:x val="1.1579395332181518E-2"/>
                  <c:y val="-2.631578168380152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D4E3-40AF-8345-71890A74772B}"/>
                </c:ext>
              </c:extLst>
            </c:dLbl>
            <c:dLbl>
              <c:idx val="4"/>
              <c:layout>
                <c:manualLayout>
                  <c:x val="1.158161418747738E-2"/>
                  <c:y val="-2.674156309700396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D4E3-40AF-8345-71890A74772B}"/>
                </c:ext>
              </c:extLst>
            </c:dLbl>
            <c:spPr>
              <a:noFill/>
              <a:ln>
                <a:noFill/>
              </a:ln>
              <a:effectLst/>
            </c:spPr>
            <c:txPr>
              <a:bodyPr wrap="square" lIns="38100" tIns="19050" rIns="38100" bIns="19050" anchor="ctr" anchorCtr="0">
                <a:spAutoFit/>
              </a:bodyPr>
              <a:lstStyle/>
              <a:p>
                <a:pPr algn="l">
                  <a:defRPr sz="900">
                    <a:latin typeface="Arial" panose="020B0604020202020204" pitchFamily="34" charset="0"/>
                    <a:ea typeface="Open Sans Light" panose="020B0306030504020204" pitchFamily="34" charset="0"/>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SUMEXPEN!$P$1269:$R$1269</c:f>
              <c:strCache>
                <c:ptCount val="3"/>
                <c:pt idx="0">
                  <c:v>July 1, 2023</c:v>
                </c:pt>
                <c:pt idx="1">
                  <c:v>July 1, 2024</c:v>
                </c:pt>
                <c:pt idx="2">
                  <c:v>July 1, 2025</c:v>
                </c:pt>
              </c:strCache>
            </c:strRef>
          </c:cat>
          <c:val>
            <c:numRef>
              <c:f>SUMEXPEN!$P$1270:$R$1270</c:f>
              <c:numCache>
                <c:formatCode>"$"#,##0</c:formatCode>
                <c:ptCount val="3"/>
                <c:pt idx="0">
                  <c:v>1818711</c:v>
                </c:pt>
                <c:pt idx="1">
                  <c:v>2222647</c:v>
                </c:pt>
                <c:pt idx="2">
                  <c:v>1317345</c:v>
                </c:pt>
              </c:numCache>
            </c:numRef>
          </c:val>
          <c:shape val="pyramid"/>
          <c:extLst>
            <c:ext xmlns:c16="http://schemas.microsoft.com/office/drawing/2014/chart" uri="{C3380CC4-5D6E-409C-BE32-E72D297353CC}">
              <c16:uniqueId val="{00000000-03ED-42F9-B639-8C83BB0EB494}"/>
            </c:ext>
          </c:extLst>
        </c:ser>
        <c:dLbls>
          <c:showLegendKey val="0"/>
          <c:showVal val="1"/>
          <c:showCatName val="0"/>
          <c:showSerName val="0"/>
          <c:showPercent val="0"/>
          <c:showBubbleSize val="0"/>
        </c:dLbls>
        <c:gapWidth val="150"/>
        <c:shape val="box"/>
        <c:axId val="128185088"/>
        <c:axId val="128186624"/>
        <c:axId val="0"/>
      </c:bar3DChart>
      <c:catAx>
        <c:axId val="128185088"/>
        <c:scaling>
          <c:orientation val="minMax"/>
        </c:scaling>
        <c:delete val="0"/>
        <c:axPos val="b"/>
        <c:numFmt formatCode="General" sourceLinked="1"/>
        <c:majorTickMark val="none"/>
        <c:minorTickMark val="none"/>
        <c:tickLblPos val="nextTo"/>
        <c:spPr>
          <a:noFill/>
        </c:spPr>
        <c:txPr>
          <a:bodyPr rot="0" anchor="t" anchorCtr="0"/>
          <a:lstStyle/>
          <a:p>
            <a:pPr>
              <a:defRPr sz="900" b="0" baseline="0">
                <a:solidFill>
                  <a:sysClr val="windowText" lastClr="000000"/>
                </a:solidFill>
                <a:latin typeface="Arial" panose="020B0604020202020204" pitchFamily="34" charset="0"/>
                <a:ea typeface="Open Sans" panose="020B0606030504020204" pitchFamily="34" charset="0"/>
                <a:cs typeface="Arial" panose="020B0604020202020204" pitchFamily="34" charset="0"/>
              </a:defRPr>
            </a:pPr>
            <a:endParaRPr lang="en-US"/>
          </a:p>
        </c:txPr>
        <c:crossAx val="128186624"/>
        <c:crosses val="autoZero"/>
        <c:auto val="1"/>
        <c:lblAlgn val="ctr"/>
        <c:lblOffset val="100"/>
        <c:noMultiLvlLbl val="0"/>
      </c:catAx>
      <c:valAx>
        <c:axId val="128186624"/>
        <c:scaling>
          <c:orientation val="minMax"/>
        </c:scaling>
        <c:delete val="0"/>
        <c:axPos val="l"/>
        <c:majorGridlines>
          <c:spPr>
            <a:ln>
              <a:solidFill>
                <a:srgbClr val="53565A"/>
              </a:solidFill>
            </a:ln>
          </c:spPr>
        </c:majorGridlines>
        <c:numFmt formatCode="&quot;$&quot;#,##0" sourceLinked="1"/>
        <c:majorTickMark val="none"/>
        <c:minorTickMark val="none"/>
        <c:tickLblPos val="nextTo"/>
        <c:spPr>
          <a:ln>
            <a:solidFill>
              <a:srgbClr val="53565A"/>
            </a:solidFill>
          </a:ln>
        </c:spPr>
        <c:txPr>
          <a:bodyPr/>
          <a:lstStyle/>
          <a:p>
            <a:pPr>
              <a:defRPr sz="900" baseline="0">
                <a:latin typeface="Arial" panose="020B0604020202020204" pitchFamily="34" charset="0"/>
                <a:ea typeface="Open Sans" panose="020B0606030504020204" pitchFamily="34" charset="0"/>
                <a:cs typeface="Arial" panose="020B0604020202020204" pitchFamily="34" charset="0"/>
              </a:defRPr>
            </a:pPr>
            <a:endParaRPr lang="en-US"/>
          </a:p>
        </c:txPr>
        <c:crossAx val="128185088"/>
        <c:crosses val="autoZero"/>
        <c:crossBetween val="between"/>
      </c:valAx>
      <c:spPr>
        <a:noFill/>
        <a:ln>
          <a:noFill/>
        </a:ln>
      </c:spPr>
    </c:plotArea>
    <c:plotVisOnly val="1"/>
    <c:dispBlanksAs val="gap"/>
    <c:showDLblsOverMax val="0"/>
  </c:chart>
  <c:spPr>
    <a:noFill/>
    <a:ln>
      <a:solidFill>
        <a:srgbClr val="53565A"/>
      </a:solidFill>
    </a:ln>
  </c:spPr>
  <c:printSettings>
    <c:headerFooter/>
    <c:pageMargins b="0.75" l="0.7" r="0.7" t="0.75" header="0.3" footer="0.3"/>
    <c:pageSetup orientation="portrait"/>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34"/>
    </mc:Choice>
    <mc:Fallback>
      <c:style val="34"/>
    </mc:Fallback>
  </mc:AlternateContent>
  <c:clrMapOvr bg1="lt1" tx1="dk1" bg2="lt2" tx2="dk2" accent1="accent1" accent2="accent2" accent3="accent3" accent4="accent4" accent5="accent5" accent6="accent6" hlink="hlink" folHlink="folHlink"/>
  <c:chart>
    <c:title>
      <c:tx>
        <c:rich>
          <a:bodyPr/>
          <a:lstStyle/>
          <a:p>
            <a:pPr algn="ctr" rtl="0">
              <a:defRPr lang="en-US" sz="1400" b="0" i="0" u="none" strike="noStrike" kern="1200" baseline="0">
                <a:solidFill>
                  <a:srgbClr val="00B796"/>
                </a:solidFill>
                <a:latin typeface="Arial" panose="020B0604020202020204" pitchFamily="34" charset="0"/>
                <a:ea typeface="Open Sans Semibold" panose="020B0706030804020204" pitchFamily="34" charset="0"/>
                <a:cs typeface="Arial" panose="020B0604020202020204" pitchFamily="34" charset="0"/>
              </a:defRPr>
            </a:pPr>
            <a:r>
              <a:rPr lang="en-US" sz="1400" b="0" i="0" u="none" strike="noStrike" kern="1200" baseline="0">
                <a:solidFill>
                  <a:srgbClr val="00B796"/>
                </a:solidFill>
                <a:latin typeface="Arial" panose="020B0604020202020204" pitchFamily="34" charset="0"/>
                <a:ea typeface="Open Sans Semibold" panose="020B0706030804020204" pitchFamily="34" charset="0"/>
                <a:cs typeface="Arial" panose="020B0604020202020204" pitchFamily="34" charset="0"/>
              </a:rPr>
              <a:t>Unencumbered Cash Balances</a:t>
            </a:r>
          </a:p>
          <a:p>
            <a:pPr algn="ctr" rtl="0">
              <a:defRPr lang="en-US" sz="1400" b="0" i="0" u="none" strike="noStrike" kern="1200" baseline="0">
                <a:solidFill>
                  <a:srgbClr val="00B796"/>
                </a:solidFill>
                <a:latin typeface="Arial" panose="020B0604020202020204" pitchFamily="34" charset="0"/>
                <a:ea typeface="Open Sans Semibold" panose="020B0706030804020204" pitchFamily="34" charset="0"/>
                <a:cs typeface="Arial" panose="020B0604020202020204" pitchFamily="34" charset="0"/>
              </a:defRPr>
            </a:pPr>
            <a:r>
              <a:rPr lang="en-US" sz="1400" b="0" i="0" u="none" strike="noStrike" kern="1200" baseline="0">
                <a:solidFill>
                  <a:srgbClr val="00B796"/>
                </a:solidFill>
                <a:latin typeface="Arial" panose="020B0604020202020204" pitchFamily="34" charset="0"/>
                <a:ea typeface="Open Sans Semibold" panose="020B0706030804020204" pitchFamily="34" charset="0"/>
                <a:cs typeface="Arial" panose="020B0604020202020204" pitchFamily="34" charset="0"/>
              </a:rPr>
              <a:t>Reserve Funds</a:t>
            </a:r>
          </a:p>
        </c:rich>
      </c:tx>
      <c:layout>
        <c:manualLayout>
          <c:xMode val="edge"/>
          <c:yMode val="edge"/>
          <c:x val="0.35989925073694745"/>
          <c:y val="3.4643923144625052E-3"/>
        </c:manualLayout>
      </c:layout>
      <c:overlay val="0"/>
    </c:title>
    <c:autoTitleDeleted val="0"/>
    <c:view3D>
      <c:rotX val="15"/>
      <c:rotY val="20"/>
      <c:depthPercent val="100"/>
      <c:rAngAx val="1"/>
    </c:view3D>
    <c:floor>
      <c:thickness val="0"/>
      <c:spPr>
        <a:gradFill flip="none" rotWithShape="1">
          <a:gsLst>
            <a:gs pos="0">
              <a:srgbClr val="12284C">
                <a:lumMod val="5000"/>
                <a:lumOff val="95000"/>
              </a:srgbClr>
            </a:gs>
            <a:gs pos="74000">
              <a:srgbClr val="12284C">
                <a:lumMod val="45000"/>
                <a:lumOff val="55000"/>
              </a:srgbClr>
            </a:gs>
            <a:gs pos="83000">
              <a:srgbClr val="12284C">
                <a:lumMod val="45000"/>
                <a:lumOff val="55000"/>
              </a:srgbClr>
            </a:gs>
            <a:gs pos="100000">
              <a:srgbClr val="12284C">
                <a:lumMod val="30000"/>
                <a:lumOff val="70000"/>
              </a:srgbClr>
            </a:gs>
          </a:gsLst>
          <a:path path="circle">
            <a:fillToRect l="100000" t="100000"/>
          </a:path>
          <a:tileRect r="-100000" b="-100000"/>
        </a:gradFill>
        <a:ln>
          <a:solidFill>
            <a:srgbClr val="12284C"/>
          </a:solidFill>
        </a:ln>
      </c:spPr>
    </c:floor>
    <c:sideWall>
      <c:thickness val="0"/>
      <c:spPr>
        <a:gradFill flip="none" rotWithShape="1">
          <a:gsLst>
            <a:gs pos="0">
              <a:srgbClr val="12284C">
                <a:lumMod val="5000"/>
                <a:lumOff val="95000"/>
              </a:srgbClr>
            </a:gs>
            <a:gs pos="74000">
              <a:srgbClr val="12284C">
                <a:lumMod val="45000"/>
                <a:lumOff val="55000"/>
              </a:srgbClr>
            </a:gs>
            <a:gs pos="83000">
              <a:srgbClr val="12284C">
                <a:lumMod val="45000"/>
                <a:lumOff val="55000"/>
              </a:srgbClr>
            </a:gs>
            <a:gs pos="100000">
              <a:srgbClr val="12284C">
                <a:lumMod val="30000"/>
                <a:lumOff val="70000"/>
              </a:srgbClr>
            </a:gs>
          </a:gsLst>
          <a:path path="circle">
            <a:fillToRect l="100000" t="100000"/>
          </a:path>
          <a:tileRect r="-100000" b="-100000"/>
        </a:gradFill>
        <a:ln>
          <a:solidFill>
            <a:srgbClr val="12284C"/>
          </a:solidFill>
        </a:ln>
      </c:spPr>
    </c:sideWall>
    <c:backWall>
      <c:thickness val="0"/>
      <c:spPr>
        <a:gradFill flip="none" rotWithShape="1">
          <a:gsLst>
            <a:gs pos="0">
              <a:srgbClr val="12284C">
                <a:lumMod val="5000"/>
                <a:lumOff val="95000"/>
              </a:srgbClr>
            </a:gs>
            <a:gs pos="74000">
              <a:srgbClr val="12284C">
                <a:lumMod val="45000"/>
                <a:lumOff val="55000"/>
              </a:srgbClr>
            </a:gs>
            <a:gs pos="83000">
              <a:srgbClr val="12284C">
                <a:lumMod val="45000"/>
                <a:lumOff val="55000"/>
              </a:srgbClr>
            </a:gs>
            <a:gs pos="100000">
              <a:srgbClr val="12284C">
                <a:lumMod val="30000"/>
                <a:lumOff val="70000"/>
              </a:srgbClr>
            </a:gs>
          </a:gsLst>
          <a:path path="circle">
            <a:fillToRect l="100000" t="100000"/>
          </a:path>
          <a:tileRect r="-100000" b="-100000"/>
        </a:gradFill>
        <a:ln>
          <a:solidFill>
            <a:srgbClr val="12284C"/>
          </a:solidFill>
        </a:ln>
      </c:spPr>
    </c:backWall>
    <c:plotArea>
      <c:layout>
        <c:manualLayout>
          <c:layoutTarget val="inner"/>
          <c:xMode val="edge"/>
          <c:yMode val="edge"/>
          <c:x val="3.0575644109563874E-2"/>
          <c:y val="0.16386807517302321"/>
          <c:w val="0.96942435589043607"/>
          <c:h val="0.72190394631117549"/>
        </c:manualLayout>
      </c:layout>
      <c:bar3DChart>
        <c:barDir val="col"/>
        <c:grouping val="clustered"/>
        <c:varyColors val="0"/>
        <c:ser>
          <c:idx val="0"/>
          <c:order val="0"/>
          <c:spPr>
            <a:solidFill>
              <a:srgbClr val="FFA400"/>
            </a:solidFill>
            <a:ln>
              <a:solidFill>
                <a:srgbClr val="D28700"/>
              </a:solidFill>
            </a:ln>
          </c:spPr>
          <c:invertIfNegative val="0"/>
          <c:dPt>
            <c:idx val="1"/>
            <c:invertIfNegative val="0"/>
            <c:bubble3D val="0"/>
            <c:spPr>
              <a:solidFill>
                <a:srgbClr val="00B796"/>
              </a:solidFill>
              <a:ln>
                <a:solidFill>
                  <a:srgbClr val="008269"/>
                </a:solidFill>
              </a:ln>
            </c:spPr>
            <c:extLst>
              <c:ext xmlns:c16="http://schemas.microsoft.com/office/drawing/2014/chart" uri="{C3380CC4-5D6E-409C-BE32-E72D297353CC}">
                <c16:uniqueId val="{00000003-EA90-4AD3-ABE4-5B34F4836766}"/>
              </c:ext>
            </c:extLst>
          </c:dPt>
          <c:dPt>
            <c:idx val="2"/>
            <c:invertIfNegative val="0"/>
            <c:bubble3D val="0"/>
            <c:spPr>
              <a:solidFill>
                <a:srgbClr val="B7312C"/>
              </a:solidFill>
              <a:ln>
                <a:solidFill>
                  <a:srgbClr val="7F241F"/>
                </a:solidFill>
              </a:ln>
            </c:spPr>
            <c:extLst>
              <c:ext xmlns:c16="http://schemas.microsoft.com/office/drawing/2014/chart" uri="{C3380CC4-5D6E-409C-BE32-E72D297353CC}">
                <c16:uniqueId val="{00000004-EA90-4AD3-ABE4-5B34F4836766}"/>
              </c:ext>
            </c:extLst>
          </c:dPt>
          <c:dPt>
            <c:idx val="3"/>
            <c:invertIfNegative val="0"/>
            <c:bubble3D val="0"/>
            <c:spPr>
              <a:solidFill>
                <a:srgbClr val="005587"/>
              </a:solidFill>
              <a:ln>
                <a:solidFill>
                  <a:srgbClr val="12284C"/>
                </a:solidFill>
              </a:ln>
            </c:spPr>
            <c:extLst>
              <c:ext xmlns:c16="http://schemas.microsoft.com/office/drawing/2014/chart" uri="{C3380CC4-5D6E-409C-BE32-E72D297353CC}">
                <c16:uniqueId val="{00000005-D4E3-40AF-8345-71890A74772B}"/>
              </c:ext>
            </c:extLst>
          </c:dPt>
          <c:dPt>
            <c:idx val="4"/>
            <c:invertIfNegative val="0"/>
            <c:bubble3D val="0"/>
            <c:spPr>
              <a:solidFill>
                <a:srgbClr val="53565A"/>
              </a:solidFill>
              <a:ln>
                <a:solidFill>
                  <a:srgbClr val="383A3C"/>
                </a:solidFill>
              </a:ln>
            </c:spPr>
            <c:extLst>
              <c:ext xmlns:c16="http://schemas.microsoft.com/office/drawing/2014/chart" uri="{C3380CC4-5D6E-409C-BE32-E72D297353CC}">
                <c16:uniqueId val="{00000006-D4E3-40AF-8345-71890A74772B}"/>
              </c:ext>
            </c:extLst>
          </c:dPt>
          <c:dLbls>
            <c:dLbl>
              <c:idx val="0"/>
              <c:layout>
                <c:manualLayout>
                  <c:x val="1.0132073464371864E-2"/>
                  <c:y val="-3.8826413992771473E-2"/>
                </c:manualLayout>
              </c:layout>
              <c:spPr>
                <a:noFill/>
                <a:ln>
                  <a:noFill/>
                </a:ln>
                <a:effectLst/>
              </c:spPr>
              <c:txPr>
                <a:bodyPr vertOverflow="clip" horzOverflow="clip" wrap="square" lIns="38100" tIns="19050" rIns="38100" bIns="19050" anchor="ctr" anchorCtr="0">
                  <a:spAutoFit/>
                </a:bodyPr>
                <a:lstStyle/>
                <a:p>
                  <a:pPr algn="l">
                    <a:defRPr sz="900">
                      <a:latin typeface="Arial" panose="020B0604020202020204" pitchFamily="34" charset="0"/>
                      <a:ea typeface="Open Sans Light" panose="020B0306030504020204" pitchFamily="34" charset="0"/>
                      <a:cs typeface="Arial" panose="020B0604020202020204" pitchFamily="34" charset="0"/>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B89A-43E1-B6B0-9C74BAE5742A}"/>
                </c:ext>
              </c:extLst>
            </c:dLbl>
            <c:dLbl>
              <c:idx val="1"/>
              <c:layout>
                <c:manualLayout>
                  <c:x val="1.5129283485714557E-2"/>
                  <c:y val="-4.8005172389448875E-2"/>
                </c:manualLayout>
              </c:layout>
              <c:spPr>
                <a:noFill/>
                <a:ln>
                  <a:noFill/>
                </a:ln>
                <a:effectLst/>
              </c:spPr>
              <c:txPr>
                <a:bodyPr vertOverflow="clip" horzOverflow="clip" wrap="none" lIns="38100" tIns="19050" rIns="38100" bIns="19050" anchor="ctr" anchorCtr="0">
                  <a:spAutoFit/>
                </a:bodyPr>
                <a:lstStyle/>
                <a:p>
                  <a:pPr algn="l">
                    <a:defRPr sz="900">
                      <a:latin typeface="Arial" panose="020B0604020202020204" pitchFamily="34" charset="0"/>
                      <a:ea typeface="Open Sans Light" panose="020B0306030504020204" pitchFamily="34" charset="0"/>
                      <a:cs typeface="Arial" panose="020B0604020202020204" pitchFamily="34" charset="0"/>
                    </a:defRPr>
                  </a:pPr>
                  <a:endParaRPr lang="en-US"/>
                </a:p>
              </c:txP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3-EA90-4AD3-ABE4-5B34F4836766}"/>
                </c:ext>
              </c:extLst>
            </c:dLbl>
            <c:dLbl>
              <c:idx val="2"/>
              <c:layout>
                <c:manualLayout>
                  <c:x val="1.3026819748704328E-2"/>
                  <c:y val="-1.5037589533600872E-2"/>
                </c:manualLayout>
              </c:layout>
              <c:spPr>
                <a:noFill/>
                <a:ln>
                  <a:noFill/>
                </a:ln>
                <a:effectLst/>
              </c:spPr>
              <c:txPr>
                <a:bodyPr vertOverflow="clip" horzOverflow="clip" wrap="square" lIns="38100" tIns="19050" rIns="38100" bIns="19050" anchor="ctr" anchorCtr="0">
                  <a:spAutoFit/>
                </a:bodyPr>
                <a:lstStyle/>
                <a:p>
                  <a:pPr algn="l">
                    <a:defRPr sz="900">
                      <a:latin typeface="Arial" panose="020B0604020202020204" pitchFamily="34" charset="0"/>
                      <a:ea typeface="Open Sans Light" panose="020B0306030504020204" pitchFamily="34" charset="0"/>
                      <a:cs typeface="Arial" panose="020B0604020202020204" pitchFamily="34" charset="0"/>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EA90-4AD3-ABE4-5B34F4836766}"/>
                </c:ext>
              </c:extLst>
            </c:dLbl>
            <c:dLbl>
              <c:idx val="3"/>
              <c:layout>
                <c:manualLayout>
                  <c:x val="1.1579395332181518E-2"/>
                  <c:y val="-2.631578168380152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D4E3-40AF-8345-71890A74772B}"/>
                </c:ext>
              </c:extLst>
            </c:dLbl>
            <c:dLbl>
              <c:idx val="4"/>
              <c:layout>
                <c:manualLayout>
                  <c:x val="1.158161418747738E-2"/>
                  <c:y val="-2.674156309700396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D4E3-40AF-8345-71890A74772B}"/>
                </c:ext>
              </c:extLst>
            </c:dLbl>
            <c:spPr>
              <a:noFill/>
              <a:ln>
                <a:noFill/>
              </a:ln>
              <a:effectLst/>
            </c:spPr>
            <c:txPr>
              <a:bodyPr wrap="square" lIns="38100" tIns="19050" rIns="38100" bIns="19050" anchor="ctr" anchorCtr="0">
                <a:spAutoFit/>
              </a:bodyPr>
              <a:lstStyle/>
              <a:p>
                <a:pPr algn="l">
                  <a:defRPr sz="900">
                    <a:latin typeface="Arial" panose="020B0604020202020204" pitchFamily="34" charset="0"/>
                    <a:ea typeface="Open Sans Light" panose="020B0306030504020204" pitchFamily="34" charset="0"/>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(SUMEXPEN!$D$1283,SUMEXPEN!$G$1283,SUMEXPEN!$K$1283)</c:f>
              <c:strCache>
                <c:ptCount val="3"/>
                <c:pt idx="0">
                  <c:v>July 1, 2023</c:v>
                </c:pt>
                <c:pt idx="1">
                  <c:v>July 1, 2024</c:v>
                </c:pt>
                <c:pt idx="2">
                  <c:v>July 1, 2025</c:v>
                </c:pt>
              </c:strCache>
            </c:strRef>
          </c:cat>
          <c:val>
            <c:numRef>
              <c:f>(SUMEXPEN!$D$1284,SUMEXPEN!$G$1284,SUMEXPEN!$K$1284)</c:f>
              <c:numCache>
                <c:formatCode>"$"#,##0</c:formatCode>
                <c:ptCount val="3"/>
                <c:pt idx="0">
                  <c:v>0</c:v>
                </c:pt>
                <c:pt idx="1">
                  <c:v>0</c:v>
                </c:pt>
                <c:pt idx="2">
                  <c:v>0</c:v>
                </c:pt>
              </c:numCache>
            </c:numRef>
          </c:val>
          <c:shape val="pyramid"/>
          <c:extLst>
            <c:ext xmlns:c16="http://schemas.microsoft.com/office/drawing/2014/chart" uri="{C3380CC4-5D6E-409C-BE32-E72D297353CC}">
              <c16:uniqueId val="{00000000-03ED-42F9-B639-8C83BB0EB494}"/>
            </c:ext>
          </c:extLst>
        </c:ser>
        <c:dLbls>
          <c:showLegendKey val="0"/>
          <c:showVal val="1"/>
          <c:showCatName val="0"/>
          <c:showSerName val="0"/>
          <c:showPercent val="0"/>
          <c:showBubbleSize val="0"/>
        </c:dLbls>
        <c:gapWidth val="150"/>
        <c:shape val="box"/>
        <c:axId val="128185088"/>
        <c:axId val="128186624"/>
        <c:axId val="0"/>
      </c:bar3DChart>
      <c:catAx>
        <c:axId val="128185088"/>
        <c:scaling>
          <c:orientation val="minMax"/>
        </c:scaling>
        <c:delete val="0"/>
        <c:axPos val="b"/>
        <c:numFmt formatCode="General" sourceLinked="1"/>
        <c:majorTickMark val="none"/>
        <c:minorTickMark val="none"/>
        <c:tickLblPos val="nextTo"/>
        <c:spPr>
          <a:noFill/>
        </c:spPr>
        <c:txPr>
          <a:bodyPr rot="0" anchor="t" anchorCtr="0"/>
          <a:lstStyle/>
          <a:p>
            <a:pPr>
              <a:defRPr sz="900" b="0" baseline="0">
                <a:solidFill>
                  <a:sysClr val="windowText" lastClr="000000"/>
                </a:solidFill>
                <a:latin typeface="Arial" panose="020B0604020202020204" pitchFamily="34" charset="0"/>
                <a:ea typeface="Open Sans" panose="020B0606030504020204" pitchFamily="34" charset="0"/>
                <a:cs typeface="Arial" panose="020B0604020202020204" pitchFamily="34" charset="0"/>
              </a:defRPr>
            </a:pPr>
            <a:endParaRPr lang="en-US"/>
          </a:p>
        </c:txPr>
        <c:crossAx val="128186624"/>
        <c:crosses val="autoZero"/>
        <c:auto val="1"/>
        <c:lblAlgn val="ctr"/>
        <c:lblOffset val="100"/>
        <c:noMultiLvlLbl val="0"/>
      </c:catAx>
      <c:valAx>
        <c:axId val="128186624"/>
        <c:scaling>
          <c:orientation val="minMax"/>
        </c:scaling>
        <c:delete val="0"/>
        <c:axPos val="l"/>
        <c:majorGridlines>
          <c:spPr>
            <a:ln>
              <a:solidFill>
                <a:srgbClr val="53565A"/>
              </a:solidFill>
            </a:ln>
          </c:spPr>
        </c:majorGridlines>
        <c:numFmt formatCode="&quot;$&quot;#,##0" sourceLinked="1"/>
        <c:majorTickMark val="none"/>
        <c:minorTickMark val="none"/>
        <c:tickLblPos val="nextTo"/>
        <c:spPr>
          <a:ln>
            <a:solidFill>
              <a:srgbClr val="53565A"/>
            </a:solidFill>
          </a:ln>
        </c:spPr>
        <c:txPr>
          <a:bodyPr/>
          <a:lstStyle/>
          <a:p>
            <a:pPr>
              <a:defRPr sz="900" baseline="0">
                <a:latin typeface="Arial" panose="020B0604020202020204" pitchFamily="34" charset="0"/>
                <a:ea typeface="Open Sans" panose="020B0606030504020204" pitchFamily="34" charset="0"/>
                <a:cs typeface="Arial" panose="020B0604020202020204" pitchFamily="34" charset="0"/>
              </a:defRPr>
            </a:pPr>
            <a:endParaRPr lang="en-US"/>
          </a:p>
        </c:txPr>
        <c:crossAx val="128185088"/>
        <c:crosses val="autoZero"/>
        <c:crossBetween val="between"/>
      </c:valAx>
      <c:spPr>
        <a:noFill/>
        <a:ln>
          <a:noFill/>
        </a:ln>
      </c:spPr>
    </c:plotArea>
    <c:plotVisOnly val="1"/>
    <c:dispBlanksAs val="gap"/>
    <c:showDLblsOverMax val="0"/>
  </c:chart>
  <c:spPr>
    <a:noFill/>
    <a:ln>
      <a:solidFill>
        <a:srgbClr val="53565A"/>
      </a:solidFill>
    </a:ln>
  </c:spPr>
  <c:printSettings>
    <c:headerFooter/>
    <c:pageMargins b="0.75" l="0.7" r="0.7" t="0.75" header="0.3" footer="0.3"/>
    <c:pageSetup orientation="portrait"/>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34"/>
    </mc:Choice>
    <mc:Fallback>
      <c:style val="34"/>
    </mc:Fallback>
  </mc:AlternateContent>
  <c:clrMapOvr bg1="lt1" tx1="dk1" bg2="lt2" tx2="dk2" accent1="accent1" accent2="accent2" accent3="accent3" accent4="accent4" accent5="accent5" accent6="accent6" hlink="hlink" folHlink="folHlink"/>
  <c:chart>
    <c:title>
      <c:tx>
        <c:rich>
          <a:bodyPr/>
          <a:lstStyle/>
          <a:p>
            <a:pPr algn="ctr" rtl="0">
              <a:defRPr lang="en-US" sz="1400" b="0" i="0" u="none" strike="noStrike" kern="1200" baseline="0">
                <a:solidFill>
                  <a:srgbClr val="005587"/>
                </a:solidFill>
                <a:latin typeface="Arial" panose="020B0604020202020204" pitchFamily="34" charset="0"/>
                <a:ea typeface="Open Sans Semibold" panose="020B0706030804020204" pitchFamily="34" charset="0"/>
                <a:cs typeface="Arial" panose="020B0604020202020204" pitchFamily="34" charset="0"/>
              </a:defRPr>
            </a:pPr>
            <a:r>
              <a:rPr lang="en-US" sz="1400" b="0" i="0" u="none" strike="noStrike" kern="1200" baseline="0">
                <a:solidFill>
                  <a:srgbClr val="005587"/>
                </a:solidFill>
                <a:latin typeface="Arial" panose="020B0604020202020204" pitchFamily="34" charset="0"/>
                <a:ea typeface="Open Sans Semibold" panose="020B0706030804020204" pitchFamily="34" charset="0"/>
                <a:cs typeface="Arial" panose="020B0604020202020204" pitchFamily="34" charset="0"/>
              </a:rPr>
              <a:t>FTE Enrollment for Calculating "Amount per Pupil"</a:t>
            </a:r>
          </a:p>
          <a:p>
            <a:pPr algn="ctr" rtl="0">
              <a:defRPr lang="en-US" sz="1400" b="0" i="0" u="none" strike="noStrike" kern="1200" baseline="0">
                <a:solidFill>
                  <a:srgbClr val="005587"/>
                </a:solidFill>
                <a:latin typeface="Arial" panose="020B0604020202020204" pitchFamily="34" charset="0"/>
                <a:ea typeface="Open Sans Semibold" panose="020B0706030804020204" pitchFamily="34" charset="0"/>
                <a:cs typeface="Arial" panose="020B0604020202020204" pitchFamily="34" charset="0"/>
              </a:defRPr>
            </a:pPr>
            <a:r>
              <a:rPr lang="en-US" sz="1100" b="0" i="0" u="none" strike="noStrike" kern="1200" baseline="0">
                <a:solidFill>
                  <a:srgbClr val="005587"/>
                </a:solidFill>
                <a:latin typeface="Arial" panose="020B0604020202020204" pitchFamily="34" charset="0"/>
                <a:ea typeface="Open Sans Semibold" panose="020B0706030804020204" pitchFamily="34" charset="0"/>
                <a:cs typeface="Arial" panose="020B0604020202020204" pitchFamily="34" charset="0"/>
              </a:rPr>
              <a:t>(includes Virtual)</a:t>
            </a:r>
          </a:p>
        </c:rich>
      </c:tx>
      <c:layout>
        <c:manualLayout>
          <c:xMode val="edge"/>
          <c:yMode val="edge"/>
          <c:x val="0.26436866834839096"/>
          <c:y val="1.5010469065770606E-3"/>
        </c:manualLayout>
      </c:layout>
      <c:overlay val="0"/>
    </c:title>
    <c:autoTitleDeleted val="0"/>
    <c:view3D>
      <c:rotX val="15"/>
      <c:rotY val="20"/>
      <c:depthPercent val="100"/>
      <c:rAngAx val="1"/>
    </c:view3D>
    <c:floor>
      <c:thickness val="0"/>
      <c:spPr>
        <a:gradFill flip="none" rotWithShape="1">
          <a:gsLst>
            <a:gs pos="0">
              <a:srgbClr val="12284C">
                <a:lumMod val="5000"/>
                <a:lumOff val="95000"/>
              </a:srgbClr>
            </a:gs>
            <a:gs pos="74000">
              <a:srgbClr val="12284C">
                <a:lumMod val="45000"/>
                <a:lumOff val="55000"/>
              </a:srgbClr>
            </a:gs>
            <a:gs pos="83000">
              <a:srgbClr val="12284C">
                <a:lumMod val="45000"/>
                <a:lumOff val="55000"/>
              </a:srgbClr>
            </a:gs>
            <a:gs pos="100000">
              <a:srgbClr val="12284C">
                <a:lumMod val="30000"/>
                <a:lumOff val="70000"/>
              </a:srgbClr>
            </a:gs>
          </a:gsLst>
          <a:path path="circle">
            <a:fillToRect l="100000" t="100000"/>
          </a:path>
          <a:tileRect r="-100000" b="-100000"/>
        </a:gradFill>
        <a:ln>
          <a:solidFill>
            <a:srgbClr val="12284C"/>
          </a:solidFill>
        </a:ln>
      </c:spPr>
    </c:floor>
    <c:sideWall>
      <c:thickness val="0"/>
      <c:spPr>
        <a:gradFill flip="none" rotWithShape="1">
          <a:gsLst>
            <a:gs pos="0">
              <a:srgbClr val="12284C">
                <a:lumMod val="5000"/>
                <a:lumOff val="95000"/>
              </a:srgbClr>
            </a:gs>
            <a:gs pos="74000">
              <a:srgbClr val="12284C">
                <a:lumMod val="45000"/>
                <a:lumOff val="55000"/>
              </a:srgbClr>
            </a:gs>
            <a:gs pos="83000">
              <a:srgbClr val="12284C">
                <a:lumMod val="45000"/>
                <a:lumOff val="55000"/>
              </a:srgbClr>
            </a:gs>
            <a:gs pos="100000">
              <a:srgbClr val="12284C">
                <a:lumMod val="30000"/>
                <a:lumOff val="70000"/>
              </a:srgbClr>
            </a:gs>
          </a:gsLst>
          <a:path path="circle">
            <a:fillToRect l="100000" t="100000"/>
          </a:path>
          <a:tileRect r="-100000" b="-100000"/>
        </a:gradFill>
        <a:ln>
          <a:solidFill>
            <a:srgbClr val="12284C"/>
          </a:solidFill>
        </a:ln>
      </c:spPr>
    </c:sideWall>
    <c:backWall>
      <c:thickness val="0"/>
      <c:spPr>
        <a:gradFill flip="none" rotWithShape="1">
          <a:gsLst>
            <a:gs pos="0">
              <a:srgbClr val="12284C">
                <a:lumMod val="5000"/>
                <a:lumOff val="95000"/>
              </a:srgbClr>
            </a:gs>
            <a:gs pos="74000">
              <a:srgbClr val="12284C">
                <a:lumMod val="45000"/>
                <a:lumOff val="55000"/>
              </a:srgbClr>
            </a:gs>
            <a:gs pos="83000">
              <a:srgbClr val="12284C">
                <a:lumMod val="45000"/>
                <a:lumOff val="55000"/>
              </a:srgbClr>
            </a:gs>
            <a:gs pos="100000">
              <a:srgbClr val="12284C">
                <a:lumMod val="30000"/>
                <a:lumOff val="70000"/>
              </a:srgbClr>
            </a:gs>
          </a:gsLst>
          <a:path path="circle">
            <a:fillToRect l="100000" t="100000"/>
          </a:path>
          <a:tileRect r="-100000" b="-100000"/>
        </a:gradFill>
        <a:ln>
          <a:solidFill>
            <a:srgbClr val="12284C"/>
          </a:solidFill>
        </a:ln>
      </c:spPr>
    </c:backWall>
    <c:plotArea>
      <c:layout>
        <c:manualLayout>
          <c:layoutTarget val="inner"/>
          <c:xMode val="edge"/>
          <c:yMode val="edge"/>
          <c:x val="3.0575644109563874E-2"/>
          <c:y val="0.16386807517302321"/>
          <c:w val="0.96942435589043607"/>
          <c:h val="0.72190394631117549"/>
        </c:manualLayout>
      </c:layout>
      <c:bar3DChart>
        <c:barDir val="col"/>
        <c:grouping val="clustered"/>
        <c:varyColors val="0"/>
        <c:ser>
          <c:idx val="0"/>
          <c:order val="0"/>
          <c:tx>
            <c:v>Enrollment FTE Used for Amount Per Pupil</c:v>
          </c:tx>
          <c:spPr>
            <a:solidFill>
              <a:srgbClr val="FFA400"/>
            </a:solidFill>
            <a:ln>
              <a:solidFill>
                <a:srgbClr val="D28700"/>
              </a:solidFill>
            </a:ln>
          </c:spPr>
          <c:invertIfNegative val="0"/>
          <c:dPt>
            <c:idx val="1"/>
            <c:invertIfNegative val="0"/>
            <c:bubble3D val="0"/>
            <c:spPr>
              <a:solidFill>
                <a:srgbClr val="12284C"/>
              </a:solidFill>
              <a:ln>
                <a:solidFill>
                  <a:srgbClr val="005587"/>
                </a:solidFill>
              </a:ln>
            </c:spPr>
            <c:extLst>
              <c:ext xmlns:c16="http://schemas.microsoft.com/office/drawing/2014/chart" uri="{C3380CC4-5D6E-409C-BE32-E72D297353CC}">
                <c16:uniqueId val="{00000003-EA90-4AD3-ABE4-5B34F4836766}"/>
              </c:ext>
            </c:extLst>
          </c:dPt>
          <c:dPt>
            <c:idx val="2"/>
            <c:invertIfNegative val="0"/>
            <c:bubble3D val="0"/>
            <c:spPr>
              <a:solidFill>
                <a:srgbClr val="00B796"/>
              </a:solidFill>
              <a:ln>
                <a:solidFill>
                  <a:srgbClr val="008269"/>
                </a:solidFill>
              </a:ln>
            </c:spPr>
            <c:extLst>
              <c:ext xmlns:c16="http://schemas.microsoft.com/office/drawing/2014/chart" uri="{C3380CC4-5D6E-409C-BE32-E72D297353CC}">
                <c16:uniqueId val="{00000004-EA90-4AD3-ABE4-5B34F4836766}"/>
              </c:ext>
            </c:extLst>
          </c:dPt>
          <c:dPt>
            <c:idx val="3"/>
            <c:invertIfNegative val="0"/>
            <c:bubble3D val="0"/>
            <c:spPr>
              <a:solidFill>
                <a:srgbClr val="D50032"/>
              </a:solidFill>
              <a:ln>
                <a:solidFill>
                  <a:srgbClr val="B7312C"/>
                </a:solidFill>
              </a:ln>
            </c:spPr>
            <c:extLst>
              <c:ext xmlns:c16="http://schemas.microsoft.com/office/drawing/2014/chart" uri="{C3380CC4-5D6E-409C-BE32-E72D297353CC}">
                <c16:uniqueId val="{00000005-D4E3-40AF-8345-71890A74772B}"/>
              </c:ext>
            </c:extLst>
          </c:dPt>
          <c:dPt>
            <c:idx val="4"/>
            <c:invertIfNegative val="0"/>
            <c:bubble3D val="0"/>
            <c:spPr>
              <a:solidFill>
                <a:srgbClr val="53565A"/>
              </a:solidFill>
              <a:ln>
                <a:solidFill>
                  <a:srgbClr val="C2C4C6"/>
                </a:solidFill>
              </a:ln>
            </c:spPr>
            <c:extLst>
              <c:ext xmlns:c16="http://schemas.microsoft.com/office/drawing/2014/chart" uri="{C3380CC4-5D6E-409C-BE32-E72D297353CC}">
                <c16:uniqueId val="{00000006-D4E3-40AF-8345-71890A74772B}"/>
              </c:ext>
            </c:extLst>
          </c:dPt>
          <c:dLbls>
            <c:dLbl>
              <c:idx val="0"/>
              <c:layout>
                <c:manualLayout>
                  <c:x val="1.0132073464371864E-2"/>
                  <c:y val="-3.8826413992771473E-2"/>
                </c:manualLayout>
              </c:layout>
              <c:spPr>
                <a:noFill/>
                <a:ln>
                  <a:noFill/>
                </a:ln>
                <a:effectLst/>
              </c:spPr>
              <c:txPr>
                <a:bodyPr vertOverflow="clip" horzOverflow="clip" wrap="square" lIns="38100" tIns="19050" rIns="38100" bIns="19050" anchor="ctr" anchorCtr="0">
                  <a:spAutoFit/>
                </a:bodyPr>
                <a:lstStyle/>
                <a:p>
                  <a:pPr algn="l">
                    <a:defRPr sz="900">
                      <a:latin typeface="Arial" panose="020B0604020202020204" pitchFamily="34" charset="0"/>
                      <a:ea typeface="Open Sans Light" panose="020B0306030504020204" pitchFamily="34" charset="0"/>
                      <a:cs typeface="Arial" panose="020B0604020202020204" pitchFamily="34" charset="0"/>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B89A-43E1-B6B0-9C74BAE5742A}"/>
                </c:ext>
              </c:extLst>
            </c:dLbl>
            <c:dLbl>
              <c:idx val="1"/>
              <c:layout>
                <c:manualLayout>
                  <c:x val="1.5129283485714557E-2"/>
                  <c:y val="-4.8005172389448875E-2"/>
                </c:manualLayout>
              </c:layout>
              <c:spPr>
                <a:noFill/>
                <a:ln>
                  <a:noFill/>
                </a:ln>
                <a:effectLst/>
              </c:spPr>
              <c:txPr>
                <a:bodyPr vertOverflow="clip" horzOverflow="clip" wrap="none" lIns="38100" tIns="19050" rIns="38100" bIns="19050" anchor="ctr" anchorCtr="0">
                  <a:spAutoFit/>
                </a:bodyPr>
                <a:lstStyle/>
                <a:p>
                  <a:pPr algn="l">
                    <a:defRPr sz="900">
                      <a:latin typeface="Arial" panose="020B0604020202020204" pitchFamily="34" charset="0"/>
                      <a:ea typeface="Open Sans Light" panose="020B0306030504020204" pitchFamily="34" charset="0"/>
                      <a:cs typeface="Arial" panose="020B0604020202020204" pitchFamily="34" charset="0"/>
                    </a:defRPr>
                  </a:pPr>
                  <a:endParaRPr lang="en-US"/>
                </a:p>
              </c:txP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3-EA90-4AD3-ABE4-5B34F4836766}"/>
                </c:ext>
              </c:extLst>
            </c:dLbl>
            <c:dLbl>
              <c:idx val="2"/>
              <c:layout>
                <c:manualLayout>
                  <c:x val="1.3026819748704328E-2"/>
                  <c:y val="-1.5037589533600872E-2"/>
                </c:manualLayout>
              </c:layout>
              <c:spPr>
                <a:noFill/>
                <a:ln>
                  <a:noFill/>
                </a:ln>
                <a:effectLst/>
              </c:spPr>
              <c:txPr>
                <a:bodyPr vertOverflow="clip" horzOverflow="clip" wrap="square" lIns="38100" tIns="19050" rIns="38100" bIns="19050" anchor="ctr" anchorCtr="0">
                  <a:spAutoFit/>
                </a:bodyPr>
                <a:lstStyle/>
                <a:p>
                  <a:pPr algn="l">
                    <a:defRPr sz="900">
                      <a:latin typeface="Arial" panose="020B0604020202020204" pitchFamily="34" charset="0"/>
                      <a:ea typeface="Open Sans Light" panose="020B0306030504020204" pitchFamily="34" charset="0"/>
                      <a:cs typeface="Arial" panose="020B0604020202020204" pitchFamily="34" charset="0"/>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EA90-4AD3-ABE4-5B34F4836766}"/>
                </c:ext>
              </c:extLst>
            </c:dLbl>
            <c:dLbl>
              <c:idx val="3"/>
              <c:layout>
                <c:manualLayout>
                  <c:x val="1.1579395332181518E-2"/>
                  <c:y val="-2.631578168380152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D4E3-40AF-8345-71890A74772B}"/>
                </c:ext>
              </c:extLst>
            </c:dLbl>
            <c:dLbl>
              <c:idx val="4"/>
              <c:layout>
                <c:manualLayout>
                  <c:x val="1.158161418747738E-2"/>
                  <c:y val="-2.674156309700396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D4E3-40AF-8345-71890A74772B}"/>
                </c:ext>
              </c:extLst>
            </c:dLbl>
            <c:spPr>
              <a:noFill/>
              <a:ln>
                <a:noFill/>
              </a:ln>
              <a:effectLst/>
            </c:spPr>
            <c:txPr>
              <a:bodyPr wrap="square" lIns="38100" tIns="19050" rIns="38100" bIns="19050" anchor="ctr" anchorCtr="0">
                <a:spAutoFit/>
              </a:bodyPr>
              <a:lstStyle/>
              <a:p>
                <a:pPr algn="l">
                  <a:defRPr sz="900">
                    <a:latin typeface="Arial" panose="020B0604020202020204" pitchFamily="34" charset="0"/>
                    <a:ea typeface="Open Sans Light" panose="020B0306030504020204" pitchFamily="34" charset="0"/>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SUMEXPEN!$P$1345:$T$1345</c:f>
              <c:strCache>
                <c:ptCount val="5"/>
                <c:pt idx="0">
                  <c:v>2021-2022</c:v>
                </c:pt>
                <c:pt idx="1">
                  <c:v>2022-2023</c:v>
                </c:pt>
                <c:pt idx="2">
                  <c:v>2023-2024</c:v>
                </c:pt>
                <c:pt idx="3">
                  <c:v>2024-2025</c:v>
                </c:pt>
                <c:pt idx="4">
                  <c:v>2025-2026</c:v>
                </c:pt>
              </c:strCache>
            </c:strRef>
          </c:cat>
          <c:val>
            <c:numRef>
              <c:f>SUMEXPEN!$P$1346:$T$1346</c:f>
              <c:numCache>
                <c:formatCode>#,##0.0</c:formatCode>
                <c:ptCount val="5"/>
                <c:pt idx="0">
                  <c:v>99</c:v>
                </c:pt>
                <c:pt idx="1">
                  <c:v>67.5</c:v>
                </c:pt>
                <c:pt idx="2">
                  <c:v>70.7</c:v>
                </c:pt>
                <c:pt idx="3">
                  <c:v>82.5</c:v>
                </c:pt>
                <c:pt idx="4">
                  <c:v>70</c:v>
                </c:pt>
              </c:numCache>
            </c:numRef>
          </c:val>
          <c:shape val="pyramid"/>
          <c:extLst>
            <c:ext xmlns:c16="http://schemas.microsoft.com/office/drawing/2014/chart" uri="{C3380CC4-5D6E-409C-BE32-E72D297353CC}">
              <c16:uniqueId val="{00000000-03ED-42F9-B639-8C83BB0EB494}"/>
            </c:ext>
          </c:extLst>
        </c:ser>
        <c:dLbls>
          <c:showLegendKey val="0"/>
          <c:showVal val="1"/>
          <c:showCatName val="0"/>
          <c:showSerName val="0"/>
          <c:showPercent val="0"/>
          <c:showBubbleSize val="0"/>
        </c:dLbls>
        <c:gapWidth val="150"/>
        <c:shape val="box"/>
        <c:axId val="128185088"/>
        <c:axId val="128186624"/>
        <c:axId val="0"/>
      </c:bar3DChart>
      <c:catAx>
        <c:axId val="128185088"/>
        <c:scaling>
          <c:orientation val="minMax"/>
        </c:scaling>
        <c:delete val="0"/>
        <c:axPos val="b"/>
        <c:numFmt formatCode="General" sourceLinked="1"/>
        <c:majorTickMark val="none"/>
        <c:minorTickMark val="none"/>
        <c:tickLblPos val="nextTo"/>
        <c:spPr>
          <a:noFill/>
        </c:spPr>
        <c:txPr>
          <a:bodyPr rot="0" anchor="t" anchorCtr="0"/>
          <a:lstStyle/>
          <a:p>
            <a:pPr>
              <a:defRPr sz="900" b="0" baseline="0">
                <a:solidFill>
                  <a:sysClr val="windowText" lastClr="000000"/>
                </a:solidFill>
                <a:latin typeface="Arial" panose="020B0604020202020204" pitchFamily="34" charset="0"/>
                <a:ea typeface="Open Sans" panose="020B0606030504020204" pitchFamily="34" charset="0"/>
                <a:cs typeface="Arial" panose="020B0604020202020204" pitchFamily="34" charset="0"/>
              </a:defRPr>
            </a:pPr>
            <a:endParaRPr lang="en-US"/>
          </a:p>
        </c:txPr>
        <c:crossAx val="128186624"/>
        <c:crosses val="autoZero"/>
        <c:auto val="1"/>
        <c:lblAlgn val="ctr"/>
        <c:lblOffset val="100"/>
        <c:noMultiLvlLbl val="0"/>
      </c:catAx>
      <c:valAx>
        <c:axId val="128186624"/>
        <c:scaling>
          <c:orientation val="minMax"/>
        </c:scaling>
        <c:delete val="0"/>
        <c:axPos val="l"/>
        <c:majorGridlines>
          <c:spPr>
            <a:ln>
              <a:solidFill>
                <a:srgbClr val="53565A"/>
              </a:solidFill>
            </a:ln>
          </c:spPr>
        </c:majorGridlines>
        <c:numFmt formatCode="#,##0.0" sourceLinked="1"/>
        <c:majorTickMark val="none"/>
        <c:minorTickMark val="none"/>
        <c:tickLblPos val="nextTo"/>
        <c:spPr>
          <a:ln>
            <a:solidFill>
              <a:srgbClr val="53565A"/>
            </a:solidFill>
          </a:ln>
        </c:spPr>
        <c:txPr>
          <a:bodyPr/>
          <a:lstStyle/>
          <a:p>
            <a:pPr>
              <a:defRPr sz="900" baseline="0">
                <a:latin typeface="Arial" panose="020B0604020202020204" pitchFamily="34" charset="0"/>
                <a:ea typeface="Open Sans" panose="020B0606030504020204" pitchFamily="34" charset="0"/>
                <a:cs typeface="Arial" panose="020B0604020202020204" pitchFamily="34" charset="0"/>
              </a:defRPr>
            </a:pPr>
            <a:endParaRPr lang="en-US"/>
          </a:p>
        </c:txPr>
        <c:crossAx val="128185088"/>
        <c:crosses val="autoZero"/>
        <c:crossBetween val="between"/>
      </c:valAx>
      <c:spPr>
        <a:noFill/>
        <a:ln>
          <a:noFill/>
        </a:ln>
      </c:spPr>
    </c:plotArea>
    <c:plotVisOnly val="1"/>
    <c:dispBlanksAs val="gap"/>
    <c:showDLblsOverMax val="0"/>
  </c:chart>
  <c:spPr>
    <a:noFill/>
    <a:ln>
      <a:solidFill>
        <a:srgbClr val="53565A"/>
      </a:solidFill>
    </a:ln>
  </c:spPr>
  <c:printSettings>
    <c:headerFooter/>
    <c:pageMargins b="0.75" l="0.7" r="0.7" t="0.75" header="0.3" footer="0.3"/>
    <c:pageSetup orientation="portrait"/>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34"/>
    </mc:Choice>
    <mc:Fallback>
      <c:style val="34"/>
    </mc:Fallback>
  </mc:AlternateContent>
  <c:clrMapOvr bg1="lt1" tx1="dk1" bg2="lt2" tx2="dk2" accent1="accent1" accent2="accent2" accent3="accent3" accent4="accent4" accent5="accent5" accent6="accent6" hlink="hlink" folHlink="folHlink"/>
  <c:chart>
    <c:title>
      <c:tx>
        <c:rich>
          <a:bodyPr/>
          <a:lstStyle/>
          <a:p>
            <a:pPr>
              <a:defRPr sz="1400" b="0">
                <a:solidFill>
                  <a:srgbClr val="005587"/>
                </a:solidFill>
                <a:latin typeface="Arial" panose="020B0604020202020204" pitchFamily="34" charset="0"/>
                <a:ea typeface="Open Sans Semibold" panose="020B0706030804020204" pitchFamily="34" charset="0"/>
                <a:cs typeface="Arial" panose="020B0604020202020204" pitchFamily="34" charset="0"/>
              </a:defRPr>
            </a:pPr>
            <a:r>
              <a:rPr lang="en-US" sz="1400">
                <a:solidFill>
                  <a:srgbClr val="005587"/>
                </a:solidFill>
                <a:latin typeface="Arial" panose="020B0604020202020204" pitchFamily="34" charset="0"/>
                <a:ea typeface="Open Sans Semibold" panose="020B0706030804020204" pitchFamily="34" charset="0"/>
                <a:cs typeface="Arial" panose="020B0604020202020204" pitchFamily="34" charset="0"/>
              </a:rPr>
              <a:t>Low Income Students</a:t>
            </a:r>
          </a:p>
        </c:rich>
      </c:tx>
      <c:overlay val="0"/>
    </c:title>
    <c:autoTitleDeleted val="0"/>
    <c:view3D>
      <c:rotX val="15"/>
      <c:rotY val="20"/>
      <c:depthPercent val="100"/>
      <c:rAngAx val="1"/>
    </c:view3D>
    <c:floor>
      <c:thickness val="0"/>
      <c:spPr>
        <a:gradFill flip="none" rotWithShape="1">
          <a:gsLst>
            <a:gs pos="0">
              <a:srgbClr val="12284C">
                <a:lumMod val="5000"/>
                <a:lumOff val="95000"/>
              </a:srgbClr>
            </a:gs>
            <a:gs pos="74000">
              <a:srgbClr val="12284C">
                <a:lumMod val="45000"/>
                <a:lumOff val="55000"/>
              </a:srgbClr>
            </a:gs>
            <a:gs pos="83000">
              <a:srgbClr val="12284C">
                <a:lumMod val="45000"/>
                <a:lumOff val="55000"/>
              </a:srgbClr>
            </a:gs>
            <a:gs pos="100000">
              <a:srgbClr val="12284C">
                <a:lumMod val="30000"/>
                <a:lumOff val="70000"/>
              </a:srgbClr>
            </a:gs>
          </a:gsLst>
          <a:path path="circle">
            <a:fillToRect l="100000" t="100000"/>
          </a:path>
          <a:tileRect r="-100000" b="-100000"/>
        </a:gradFill>
        <a:ln>
          <a:solidFill>
            <a:srgbClr val="12284C"/>
          </a:solidFill>
        </a:ln>
      </c:spPr>
    </c:floor>
    <c:sideWall>
      <c:thickness val="0"/>
      <c:spPr>
        <a:gradFill flip="none" rotWithShape="1">
          <a:gsLst>
            <a:gs pos="0">
              <a:srgbClr val="12284C">
                <a:lumMod val="5000"/>
                <a:lumOff val="95000"/>
              </a:srgbClr>
            </a:gs>
            <a:gs pos="74000">
              <a:srgbClr val="12284C">
                <a:lumMod val="45000"/>
                <a:lumOff val="55000"/>
              </a:srgbClr>
            </a:gs>
            <a:gs pos="83000">
              <a:srgbClr val="12284C">
                <a:lumMod val="45000"/>
                <a:lumOff val="55000"/>
              </a:srgbClr>
            </a:gs>
            <a:gs pos="100000">
              <a:srgbClr val="12284C">
                <a:lumMod val="30000"/>
                <a:lumOff val="70000"/>
              </a:srgbClr>
            </a:gs>
          </a:gsLst>
          <a:path path="circle">
            <a:fillToRect l="100000" t="100000"/>
          </a:path>
          <a:tileRect r="-100000" b="-100000"/>
        </a:gradFill>
        <a:ln>
          <a:solidFill>
            <a:srgbClr val="12284C"/>
          </a:solidFill>
        </a:ln>
      </c:spPr>
    </c:sideWall>
    <c:backWall>
      <c:thickness val="0"/>
      <c:spPr>
        <a:gradFill flip="none" rotWithShape="1">
          <a:gsLst>
            <a:gs pos="0">
              <a:srgbClr val="12284C">
                <a:lumMod val="5000"/>
                <a:lumOff val="95000"/>
              </a:srgbClr>
            </a:gs>
            <a:gs pos="74000">
              <a:srgbClr val="12284C">
                <a:lumMod val="45000"/>
                <a:lumOff val="55000"/>
              </a:srgbClr>
            </a:gs>
            <a:gs pos="83000">
              <a:srgbClr val="12284C">
                <a:lumMod val="45000"/>
                <a:lumOff val="55000"/>
              </a:srgbClr>
            </a:gs>
            <a:gs pos="100000">
              <a:srgbClr val="12284C">
                <a:lumMod val="30000"/>
                <a:lumOff val="70000"/>
              </a:srgbClr>
            </a:gs>
          </a:gsLst>
          <a:path path="circle">
            <a:fillToRect l="100000" t="100000"/>
          </a:path>
          <a:tileRect r="-100000" b="-100000"/>
        </a:gradFill>
        <a:ln>
          <a:solidFill>
            <a:srgbClr val="12284C"/>
          </a:solidFill>
        </a:ln>
      </c:spPr>
    </c:backWall>
    <c:plotArea>
      <c:layout>
        <c:manualLayout>
          <c:layoutTarget val="inner"/>
          <c:xMode val="edge"/>
          <c:yMode val="edge"/>
          <c:x val="3.8917356537457745E-2"/>
          <c:y val="0.13407672863944212"/>
          <c:w val="0.96108264346254224"/>
          <c:h val="0.67603149606299218"/>
        </c:manualLayout>
      </c:layout>
      <c:bar3DChart>
        <c:barDir val="col"/>
        <c:grouping val="clustered"/>
        <c:varyColors val="0"/>
        <c:ser>
          <c:idx val="0"/>
          <c:order val="0"/>
          <c:tx>
            <c:v>Free Meals</c:v>
          </c:tx>
          <c:spPr>
            <a:solidFill>
              <a:srgbClr val="00B796"/>
            </a:solidFill>
            <a:ln>
              <a:solidFill>
                <a:srgbClr val="008269"/>
              </a:solidFill>
            </a:ln>
          </c:spPr>
          <c:invertIfNegative val="0"/>
          <c:dLbls>
            <c:dLbl>
              <c:idx val="0"/>
              <c:layout>
                <c:manualLayout>
                  <c:x val="1.2650569378504508E-2"/>
                  <c:y val="-1.803407200094683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3D43-41DF-9DF3-DB7B0F7008BA}"/>
                </c:ext>
              </c:extLst>
            </c:dLbl>
            <c:dLbl>
              <c:idx val="1"/>
              <c:layout>
                <c:manualLayout>
                  <c:x val="6.7114481663465581E-3"/>
                  <c:y val="-2.729850114361245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3D43-41DF-9DF3-DB7B0F7008BA}"/>
                </c:ext>
              </c:extLst>
            </c:dLbl>
            <c:dLbl>
              <c:idx val="2"/>
              <c:layout>
                <c:manualLayout>
                  <c:x val="1.4135350546896292E-2"/>
                  <c:y val="-1.838467804256566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3D43-41DF-9DF3-DB7B0F7008BA}"/>
                </c:ext>
              </c:extLst>
            </c:dLbl>
            <c:dLbl>
              <c:idx val="3"/>
              <c:layout>
                <c:manualLayout>
                  <c:x val="4.4742729306486879E-3"/>
                  <c:y val="-1.166180758017492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3D43-41DF-9DF3-DB7B0F7008BA}"/>
                </c:ext>
              </c:extLst>
            </c:dLbl>
            <c:dLbl>
              <c:idx val="4"/>
              <c:layout>
                <c:manualLayout>
                  <c:x val="1.7857240979632785E-2"/>
                  <c:y val="-1.838467804256563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3D43-41DF-9DF3-DB7B0F7008BA}"/>
                </c:ext>
              </c:extLst>
            </c:dLbl>
            <c:spPr>
              <a:noFill/>
              <a:ln>
                <a:noFill/>
              </a:ln>
              <a:effectLst/>
            </c:spPr>
            <c:txPr>
              <a:bodyPr rot="0" vertOverflow="clip" horzOverflow="clip" vert="horz" wrap="square" lIns="38100" tIns="19050" rIns="38100" bIns="19050" anchor="ctr">
                <a:spAutoFit/>
              </a:bodyPr>
              <a:lstStyle/>
              <a:p>
                <a:pPr>
                  <a:defRPr sz="900">
                    <a:latin typeface="Arial" panose="020B0604020202020204" pitchFamily="34" charset="0"/>
                    <a:ea typeface="Open Sans Light" panose="020B0306030504020204" pitchFamily="34" charset="0"/>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SUMEXPEN!$P$1362:$T$1362</c:f>
              <c:strCache>
                <c:ptCount val="5"/>
                <c:pt idx="0">
                  <c:v>2021-2022</c:v>
                </c:pt>
                <c:pt idx="1">
                  <c:v>2022-2023</c:v>
                </c:pt>
                <c:pt idx="2">
                  <c:v>2023-2024</c:v>
                </c:pt>
                <c:pt idx="3">
                  <c:v>2024-2025</c:v>
                </c:pt>
                <c:pt idx="4">
                  <c:v>2025-2026</c:v>
                </c:pt>
              </c:strCache>
            </c:strRef>
          </c:cat>
          <c:val>
            <c:numRef>
              <c:f>SUMEXPEN!$P$1363:$T$1363</c:f>
              <c:numCache>
                <c:formatCode>#,##0</c:formatCode>
                <c:ptCount val="5"/>
                <c:pt idx="0">
                  <c:v>40</c:v>
                </c:pt>
                <c:pt idx="1">
                  <c:v>39</c:v>
                </c:pt>
                <c:pt idx="2">
                  <c:v>35</c:v>
                </c:pt>
                <c:pt idx="3">
                  <c:v>40</c:v>
                </c:pt>
                <c:pt idx="4">
                  <c:v>35</c:v>
                </c:pt>
              </c:numCache>
            </c:numRef>
          </c:val>
          <c:extLst>
            <c:ext xmlns:c16="http://schemas.microsoft.com/office/drawing/2014/chart" uri="{C3380CC4-5D6E-409C-BE32-E72D297353CC}">
              <c16:uniqueId val="{00000000-03ED-42F9-B639-8C83BB0EB494}"/>
            </c:ext>
          </c:extLst>
        </c:ser>
        <c:ser>
          <c:idx val="1"/>
          <c:order val="1"/>
          <c:tx>
            <c:v>Reduced Meals</c:v>
          </c:tx>
          <c:spPr>
            <a:solidFill>
              <a:srgbClr val="D50032"/>
            </a:solidFill>
            <a:ln>
              <a:solidFill>
                <a:srgbClr val="B7312C"/>
              </a:solidFill>
            </a:ln>
          </c:spPr>
          <c:invertIfNegative val="0"/>
          <c:dLbls>
            <c:dLbl>
              <c:idx val="0"/>
              <c:layout>
                <c:manualLayout>
                  <c:x val="1.0433335137673676E-2"/>
                  <c:y val="-2.157076519281250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D43-41DF-9DF3-DB7B0F7008BA}"/>
                </c:ext>
              </c:extLst>
            </c:dLbl>
            <c:dLbl>
              <c:idx val="1"/>
              <c:layout>
                <c:manualLayout>
                  <c:x val="1.1185663233626521E-2"/>
                  <c:y val="-2.122015915119369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3D43-41DF-9DF3-DB7B0F7008BA}"/>
                </c:ext>
              </c:extLst>
            </c:dLbl>
            <c:dLbl>
              <c:idx val="2"/>
              <c:layout>
                <c:manualLayout>
                  <c:x val="1.564000673880209E-2"/>
                  <c:y val="-2.122015915119369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3D43-41DF-9DF3-DB7B0F7008BA}"/>
                </c:ext>
              </c:extLst>
            </c:dLbl>
            <c:dLbl>
              <c:idx val="3"/>
              <c:layout>
                <c:manualLayout>
                  <c:x val="1.2670444402018415E-2"/>
                  <c:y val="-2.82935455349249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3D43-41DF-9DF3-DB7B0F7008BA}"/>
                </c:ext>
              </c:extLst>
            </c:dLbl>
            <c:dLbl>
              <c:idx val="4"/>
              <c:layout>
                <c:manualLayout>
                  <c:x val="1.1185682326621925E-2"/>
                  <c:y val="-1.166180758017492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3D43-41DF-9DF3-DB7B0F7008BA}"/>
                </c:ext>
              </c:extLst>
            </c:dLbl>
            <c:spPr>
              <a:noFill/>
              <a:ln>
                <a:noFill/>
              </a:ln>
              <a:effectLst/>
            </c:spPr>
            <c:txPr>
              <a:bodyPr rot="0" vertOverflow="clip" horzOverflow="clip" vert="horz" wrap="square" lIns="38100" tIns="19050" rIns="38100" bIns="19050" anchor="ctr">
                <a:spAutoFit/>
              </a:bodyPr>
              <a:lstStyle/>
              <a:p>
                <a:pPr>
                  <a:defRPr>
                    <a:latin typeface="Arial" panose="020B0604020202020204" pitchFamily="34" charset="0"/>
                    <a:ea typeface="Open Sans Light" panose="020B0306030504020204" pitchFamily="34" charset="0"/>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SUMEXPEN!$P$1362:$T$1362</c:f>
              <c:strCache>
                <c:ptCount val="5"/>
                <c:pt idx="0">
                  <c:v>2021-2022</c:v>
                </c:pt>
                <c:pt idx="1">
                  <c:v>2022-2023</c:v>
                </c:pt>
                <c:pt idx="2">
                  <c:v>2023-2024</c:v>
                </c:pt>
                <c:pt idx="3">
                  <c:v>2024-2025</c:v>
                </c:pt>
                <c:pt idx="4">
                  <c:v>2025-2026</c:v>
                </c:pt>
              </c:strCache>
            </c:strRef>
          </c:cat>
          <c:val>
            <c:numRef>
              <c:f>SUMEXPEN!$P$1364:$T$1364</c:f>
              <c:numCache>
                <c:formatCode>#,##0</c:formatCode>
                <c:ptCount val="5"/>
                <c:pt idx="0">
                  <c:v>25</c:v>
                </c:pt>
                <c:pt idx="1">
                  <c:v>3</c:v>
                </c:pt>
                <c:pt idx="2">
                  <c:v>5</c:v>
                </c:pt>
                <c:pt idx="3">
                  <c:v>10</c:v>
                </c:pt>
                <c:pt idx="4">
                  <c:v>10</c:v>
                </c:pt>
              </c:numCache>
            </c:numRef>
          </c:val>
          <c:extLst>
            <c:ext xmlns:c16="http://schemas.microsoft.com/office/drawing/2014/chart" uri="{C3380CC4-5D6E-409C-BE32-E72D297353CC}">
              <c16:uniqueId val="{00000001-03ED-42F9-B639-8C83BB0EB494}"/>
            </c:ext>
          </c:extLst>
        </c:ser>
        <c:dLbls>
          <c:showLegendKey val="0"/>
          <c:showVal val="1"/>
          <c:showCatName val="0"/>
          <c:showSerName val="0"/>
          <c:showPercent val="0"/>
          <c:showBubbleSize val="0"/>
        </c:dLbls>
        <c:gapWidth val="150"/>
        <c:shape val="box"/>
        <c:axId val="128185088"/>
        <c:axId val="128186624"/>
        <c:axId val="0"/>
      </c:bar3DChart>
      <c:catAx>
        <c:axId val="128185088"/>
        <c:scaling>
          <c:orientation val="minMax"/>
        </c:scaling>
        <c:delete val="0"/>
        <c:axPos val="b"/>
        <c:numFmt formatCode="General" sourceLinked="1"/>
        <c:majorTickMark val="none"/>
        <c:minorTickMark val="none"/>
        <c:tickLblPos val="nextTo"/>
        <c:spPr>
          <a:noFill/>
        </c:spPr>
        <c:txPr>
          <a:bodyPr rot="0" anchor="t" anchorCtr="0"/>
          <a:lstStyle/>
          <a:p>
            <a:pPr>
              <a:defRPr sz="900" b="0" baseline="0">
                <a:solidFill>
                  <a:sysClr val="windowText" lastClr="000000"/>
                </a:solidFill>
                <a:latin typeface="Arial" panose="020B0604020202020204" pitchFamily="34" charset="0"/>
                <a:ea typeface="Open Sans" panose="020B0606030504020204" pitchFamily="34" charset="0"/>
                <a:cs typeface="Arial" panose="020B0604020202020204" pitchFamily="34" charset="0"/>
              </a:defRPr>
            </a:pPr>
            <a:endParaRPr lang="en-US"/>
          </a:p>
        </c:txPr>
        <c:crossAx val="128186624"/>
        <c:crosses val="autoZero"/>
        <c:auto val="1"/>
        <c:lblAlgn val="ctr"/>
        <c:lblOffset val="100"/>
        <c:noMultiLvlLbl val="0"/>
      </c:catAx>
      <c:valAx>
        <c:axId val="128186624"/>
        <c:scaling>
          <c:orientation val="minMax"/>
        </c:scaling>
        <c:delete val="0"/>
        <c:axPos val="l"/>
        <c:majorGridlines>
          <c:spPr>
            <a:ln>
              <a:solidFill>
                <a:srgbClr val="53565A"/>
              </a:solidFill>
            </a:ln>
          </c:spPr>
        </c:majorGridlines>
        <c:numFmt formatCode="#,##0" sourceLinked="1"/>
        <c:majorTickMark val="none"/>
        <c:minorTickMark val="none"/>
        <c:tickLblPos val="nextTo"/>
        <c:spPr>
          <a:ln>
            <a:solidFill>
              <a:srgbClr val="53565A"/>
            </a:solidFill>
          </a:ln>
        </c:spPr>
        <c:txPr>
          <a:bodyPr/>
          <a:lstStyle/>
          <a:p>
            <a:pPr>
              <a:defRPr sz="900" baseline="0">
                <a:latin typeface="Arial" panose="020B0604020202020204" pitchFamily="34" charset="0"/>
                <a:ea typeface="Open Sans" panose="020B0606030504020204" pitchFamily="34" charset="0"/>
                <a:cs typeface="Arial" panose="020B0604020202020204" pitchFamily="34" charset="0"/>
              </a:defRPr>
            </a:pPr>
            <a:endParaRPr lang="en-US"/>
          </a:p>
        </c:txPr>
        <c:crossAx val="128185088"/>
        <c:crosses val="autoZero"/>
        <c:crossBetween val="between"/>
      </c:valAx>
      <c:spPr>
        <a:solidFill>
          <a:schemeClr val="bg1"/>
        </a:solidFill>
        <a:ln>
          <a:noFill/>
        </a:ln>
      </c:spPr>
    </c:plotArea>
    <c:legend>
      <c:legendPos val="b"/>
      <c:overlay val="0"/>
      <c:txPr>
        <a:bodyPr/>
        <a:lstStyle/>
        <a:p>
          <a:pPr>
            <a:defRPr sz="900" b="0">
              <a:solidFill>
                <a:sysClr val="windowText" lastClr="000000"/>
              </a:solidFill>
              <a:latin typeface="Arial" panose="020B0604020202020204" pitchFamily="34" charset="0"/>
              <a:ea typeface="Open Sans" panose="020B0606030504020204" pitchFamily="34" charset="0"/>
              <a:cs typeface="Arial" panose="020B0604020202020204" pitchFamily="34" charset="0"/>
            </a:defRPr>
          </a:pPr>
          <a:endParaRPr lang="en-US"/>
        </a:p>
      </c:txPr>
    </c:legend>
    <c:plotVisOnly val="1"/>
    <c:dispBlanksAs val="gap"/>
    <c:showDLblsOverMax val="0"/>
  </c:chart>
  <c:spPr>
    <a:noFill/>
    <a:ln>
      <a:solidFill>
        <a:srgbClr val="53565A"/>
      </a:solidFill>
    </a:ln>
  </c:sp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34"/>
    </mc:Choice>
    <mc:Fallback>
      <c:style val="34"/>
    </mc:Fallback>
  </mc:AlternateContent>
  <c:clrMapOvr bg1="lt1" tx1="dk1" bg2="lt2" tx2="dk2" accent1="accent1" accent2="accent2" accent3="accent3" accent4="accent4" accent5="accent5" accent6="accent6" hlink="hlink" folHlink="folHlink"/>
  <c:chart>
    <c:title>
      <c:tx>
        <c:rich>
          <a:bodyPr/>
          <a:lstStyle/>
          <a:p>
            <a:pPr algn="ctr" rtl="0">
              <a:defRPr lang="en-US" sz="1400" b="0" i="0" u="none" strike="noStrike" kern="1200" baseline="0">
                <a:solidFill>
                  <a:srgbClr val="005587"/>
                </a:solidFill>
                <a:latin typeface="Arial" panose="020B0604020202020204" pitchFamily="34" charset="0"/>
                <a:ea typeface="Open Sans Semibold" panose="020B0706030804020204" pitchFamily="34" charset="0"/>
                <a:cs typeface="Arial" panose="020B0604020202020204" pitchFamily="34" charset="0"/>
              </a:defRPr>
            </a:pPr>
            <a:r>
              <a:rPr lang="en-US" sz="1400" b="0" i="0" u="none" strike="noStrike" kern="1200" baseline="0">
                <a:solidFill>
                  <a:srgbClr val="005587"/>
                </a:solidFill>
                <a:latin typeface="Arial" panose="020B0604020202020204" pitchFamily="34" charset="0"/>
                <a:ea typeface="Open Sans Semibold" panose="020B0706030804020204" pitchFamily="34" charset="0"/>
                <a:cs typeface="Arial" panose="020B0604020202020204" pitchFamily="34" charset="0"/>
              </a:rPr>
              <a:t>FTE Enrollment for Computing State Foundation Aid</a:t>
            </a:r>
          </a:p>
          <a:p>
            <a:pPr algn="ctr" rtl="0">
              <a:defRPr lang="en-US" sz="1400" b="0" i="0" u="none" strike="noStrike" kern="1200" baseline="0">
                <a:solidFill>
                  <a:srgbClr val="005587"/>
                </a:solidFill>
                <a:latin typeface="Arial" panose="020B0604020202020204" pitchFamily="34" charset="0"/>
                <a:ea typeface="Open Sans Semibold" panose="020B0706030804020204" pitchFamily="34" charset="0"/>
                <a:cs typeface="Arial" panose="020B0604020202020204" pitchFamily="34" charset="0"/>
              </a:defRPr>
            </a:pPr>
            <a:r>
              <a:rPr lang="en-US" sz="1100" b="0" i="0" u="none" strike="noStrike" kern="1200" baseline="0">
                <a:solidFill>
                  <a:srgbClr val="005587"/>
                </a:solidFill>
                <a:latin typeface="Arial" panose="020B0604020202020204" pitchFamily="34" charset="0"/>
                <a:ea typeface="Open Sans Semibold" panose="020B0706030804020204" pitchFamily="34" charset="0"/>
                <a:cs typeface="Arial" panose="020B0604020202020204" pitchFamily="34" charset="0"/>
              </a:rPr>
              <a:t>(excludes Virtual)</a:t>
            </a:r>
          </a:p>
        </c:rich>
      </c:tx>
      <c:layout>
        <c:manualLayout>
          <c:xMode val="edge"/>
          <c:yMode val="edge"/>
          <c:x val="0.2630039464104858"/>
          <c:y val="1.9013883052436623E-3"/>
        </c:manualLayout>
      </c:layout>
      <c:overlay val="0"/>
    </c:title>
    <c:autoTitleDeleted val="0"/>
    <c:view3D>
      <c:rotX val="15"/>
      <c:rotY val="20"/>
      <c:depthPercent val="100"/>
      <c:rAngAx val="1"/>
    </c:view3D>
    <c:floor>
      <c:thickness val="0"/>
      <c:spPr>
        <a:gradFill flip="none" rotWithShape="1">
          <a:gsLst>
            <a:gs pos="0">
              <a:srgbClr val="12284C">
                <a:lumMod val="5000"/>
                <a:lumOff val="95000"/>
              </a:srgbClr>
            </a:gs>
            <a:gs pos="74000">
              <a:srgbClr val="12284C">
                <a:lumMod val="45000"/>
                <a:lumOff val="55000"/>
              </a:srgbClr>
            </a:gs>
            <a:gs pos="83000">
              <a:srgbClr val="12284C">
                <a:lumMod val="45000"/>
                <a:lumOff val="55000"/>
              </a:srgbClr>
            </a:gs>
            <a:gs pos="100000">
              <a:srgbClr val="12284C">
                <a:lumMod val="30000"/>
                <a:lumOff val="70000"/>
              </a:srgbClr>
            </a:gs>
          </a:gsLst>
          <a:path path="circle">
            <a:fillToRect l="100000" t="100000"/>
          </a:path>
          <a:tileRect r="-100000" b="-100000"/>
        </a:gradFill>
        <a:ln>
          <a:solidFill>
            <a:srgbClr val="12284C"/>
          </a:solidFill>
        </a:ln>
      </c:spPr>
    </c:floor>
    <c:sideWall>
      <c:thickness val="0"/>
      <c:spPr>
        <a:gradFill flip="none" rotWithShape="1">
          <a:gsLst>
            <a:gs pos="0">
              <a:srgbClr val="12284C">
                <a:lumMod val="5000"/>
                <a:lumOff val="95000"/>
              </a:srgbClr>
            </a:gs>
            <a:gs pos="74000">
              <a:srgbClr val="12284C">
                <a:lumMod val="45000"/>
                <a:lumOff val="55000"/>
              </a:srgbClr>
            </a:gs>
            <a:gs pos="83000">
              <a:srgbClr val="12284C">
                <a:lumMod val="45000"/>
                <a:lumOff val="55000"/>
              </a:srgbClr>
            </a:gs>
            <a:gs pos="100000">
              <a:srgbClr val="12284C">
                <a:lumMod val="30000"/>
                <a:lumOff val="70000"/>
              </a:srgbClr>
            </a:gs>
          </a:gsLst>
          <a:path path="circle">
            <a:fillToRect l="100000" t="100000"/>
          </a:path>
          <a:tileRect r="-100000" b="-100000"/>
        </a:gradFill>
        <a:ln>
          <a:solidFill>
            <a:srgbClr val="12284C"/>
          </a:solidFill>
        </a:ln>
      </c:spPr>
    </c:sideWall>
    <c:backWall>
      <c:thickness val="0"/>
      <c:spPr>
        <a:gradFill flip="none" rotWithShape="1">
          <a:gsLst>
            <a:gs pos="0">
              <a:srgbClr val="12284C">
                <a:lumMod val="5000"/>
                <a:lumOff val="95000"/>
              </a:srgbClr>
            </a:gs>
            <a:gs pos="74000">
              <a:srgbClr val="12284C">
                <a:lumMod val="45000"/>
                <a:lumOff val="55000"/>
              </a:srgbClr>
            </a:gs>
            <a:gs pos="83000">
              <a:srgbClr val="12284C">
                <a:lumMod val="45000"/>
                <a:lumOff val="55000"/>
              </a:srgbClr>
            </a:gs>
            <a:gs pos="100000">
              <a:srgbClr val="12284C">
                <a:lumMod val="30000"/>
                <a:lumOff val="70000"/>
              </a:srgbClr>
            </a:gs>
          </a:gsLst>
          <a:path path="circle">
            <a:fillToRect l="100000" t="100000"/>
          </a:path>
          <a:tileRect r="-100000" b="-100000"/>
        </a:gradFill>
        <a:ln>
          <a:solidFill>
            <a:srgbClr val="12284C"/>
          </a:solidFill>
        </a:ln>
      </c:spPr>
    </c:backWall>
    <c:plotArea>
      <c:layout>
        <c:manualLayout>
          <c:layoutTarget val="inner"/>
          <c:xMode val="edge"/>
          <c:yMode val="edge"/>
          <c:x val="3.0575644109563874E-2"/>
          <c:y val="0.16386807517302321"/>
          <c:w val="0.96942435589043607"/>
          <c:h val="0.72190394631117549"/>
        </c:manualLayout>
      </c:layout>
      <c:bar3DChart>
        <c:barDir val="col"/>
        <c:grouping val="clustered"/>
        <c:varyColors val="0"/>
        <c:ser>
          <c:idx val="0"/>
          <c:order val="0"/>
          <c:spPr>
            <a:solidFill>
              <a:srgbClr val="FFA400"/>
            </a:solidFill>
            <a:ln>
              <a:solidFill>
                <a:srgbClr val="D28700"/>
              </a:solidFill>
            </a:ln>
          </c:spPr>
          <c:invertIfNegative val="0"/>
          <c:dPt>
            <c:idx val="1"/>
            <c:invertIfNegative val="0"/>
            <c:bubble3D val="0"/>
            <c:spPr>
              <a:solidFill>
                <a:srgbClr val="12284C"/>
              </a:solidFill>
              <a:ln>
                <a:solidFill>
                  <a:srgbClr val="005587"/>
                </a:solidFill>
              </a:ln>
            </c:spPr>
            <c:extLst>
              <c:ext xmlns:c16="http://schemas.microsoft.com/office/drawing/2014/chart" uri="{C3380CC4-5D6E-409C-BE32-E72D297353CC}">
                <c16:uniqueId val="{00000003-EA90-4AD3-ABE4-5B34F4836766}"/>
              </c:ext>
            </c:extLst>
          </c:dPt>
          <c:dPt>
            <c:idx val="2"/>
            <c:invertIfNegative val="0"/>
            <c:bubble3D val="0"/>
            <c:spPr>
              <a:solidFill>
                <a:srgbClr val="00B796"/>
              </a:solidFill>
              <a:ln>
                <a:solidFill>
                  <a:srgbClr val="008269"/>
                </a:solidFill>
              </a:ln>
            </c:spPr>
            <c:extLst>
              <c:ext xmlns:c16="http://schemas.microsoft.com/office/drawing/2014/chart" uri="{C3380CC4-5D6E-409C-BE32-E72D297353CC}">
                <c16:uniqueId val="{00000004-EA90-4AD3-ABE4-5B34F4836766}"/>
              </c:ext>
            </c:extLst>
          </c:dPt>
          <c:dPt>
            <c:idx val="3"/>
            <c:invertIfNegative val="0"/>
            <c:bubble3D val="0"/>
            <c:spPr>
              <a:solidFill>
                <a:srgbClr val="D50032"/>
              </a:solidFill>
              <a:ln>
                <a:solidFill>
                  <a:srgbClr val="B7312C"/>
                </a:solidFill>
              </a:ln>
            </c:spPr>
            <c:extLst>
              <c:ext xmlns:c16="http://schemas.microsoft.com/office/drawing/2014/chart" uri="{C3380CC4-5D6E-409C-BE32-E72D297353CC}">
                <c16:uniqueId val="{00000005-D4E3-40AF-8345-71890A74772B}"/>
              </c:ext>
            </c:extLst>
          </c:dPt>
          <c:dPt>
            <c:idx val="4"/>
            <c:invertIfNegative val="0"/>
            <c:bubble3D val="0"/>
            <c:spPr>
              <a:solidFill>
                <a:srgbClr val="53565A"/>
              </a:solidFill>
              <a:ln>
                <a:solidFill>
                  <a:srgbClr val="C2C4C6"/>
                </a:solidFill>
              </a:ln>
            </c:spPr>
            <c:extLst>
              <c:ext xmlns:c16="http://schemas.microsoft.com/office/drawing/2014/chart" uri="{C3380CC4-5D6E-409C-BE32-E72D297353CC}">
                <c16:uniqueId val="{00000006-D4E3-40AF-8345-71890A74772B}"/>
              </c:ext>
            </c:extLst>
          </c:dPt>
          <c:dLbls>
            <c:dLbl>
              <c:idx val="0"/>
              <c:layout>
                <c:manualLayout>
                  <c:x val="1.0132073464371864E-2"/>
                  <c:y val="-3.8826413992771473E-2"/>
                </c:manualLayout>
              </c:layout>
              <c:spPr>
                <a:noFill/>
                <a:ln>
                  <a:noFill/>
                </a:ln>
                <a:effectLst/>
              </c:spPr>
              <c:txPr>
                <a:bodyPr vertOverflow="clip" horzOverflow="clip" wrap="square" lIns="38100" tIns="19050" rIns="38100" bIns="19050" anchor="ctr" anchorCtr="0">
                  <a:spAutoFit/>
                </a:bodyPr>
                <a:lstStyle/>
                <a:p>
                  <a:pPr algn="l">
                    <a:defRPr sz="900">
                      <a:latin typeface="Arial" panose="020B0604020202020204" pitchFamily="34" charset="0"/>
                      <a:ea typeface="Open Sans Light" panose="020B0306030504020204" pitchFamily="34" charset="0"/>
                      <a:cs typeface="Arial" panose="020B0604020202020204" pitchFamily="34" charset="0"/>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B89A-43E1-B6B0-9C74BAE5742A}"/>
                </c:ext>
              </c:extLst>
            </c:dLbl>
            <c:dLbl>
              <c:idx val="1"/>
              <c:layout>
                <c:manualLayout>
                  <c:x val="1.5129283485714557E-2"/>
                  <c:y val="-4.8005172389448875E-2"/>
                </c:manualLayout>
              </c:layout>
              <c:spPr>
                <a:noFill/>
                <a:ln>
                  <a:noFill/>
                </a:ln>
                <a:effectLst/>
              </c:spPr>
              <c:txPr>
                <a:bodyPr vertOverflow="clip" horzOverflow="clip" wrap="none" lIns="38100" tIns="19050" rIns="38100" bIns="19050" anchor="ctr" anchorCtr="0">
                  <a:spAutoFit/>
                </a:bodyPr>
                <a:lstStyle/>
                <a:p>
                  <a:pPr algn="l">
                    <a:defRPr sz="900">
                      <a:latin typeface="Arial" panose="020B0604020202020204" pitchFamily="34" charset="0"/>
                      <a:ea typeface="Open Sans Light" panose="020B0306030504020204" pitchFamily="34" charset="0"/>
                      <a:cs typeface="Arial" panose="020B0604020202020204" pitchFamily="34" charset="0"/>
                    </a:defRPr>
                  </a:pPr>
                  <a:endParaRPr lang="en-US"/>
                </a:p>
              </c:txP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3-EA90-4AD3-ABE4-5B34F4836766}"/>
                </c:ext>
              </c:extLst>
            </c:dLbl>
            <c:dLbl>
              <c:idx val="2"/>
              <c:layout>
                <c:manualLayout>
                  <c:x val="1.3026819748704328E-2"/>
                  <c:y val="-1.5037589533600872E-2"/>
                </c:manualLayout>
              </c:layout>
              <c:spPr>
                <a:noFill/>
                <a:ln>
                  <a:noFill/>
                </a:ln>
                <a:effectLst/>
              </c:spPr>
              <c:txPr>
                <a:bodyPr vertOverflow="clip" horzOverflow="clip" wrap="square" lIns="38100" tIns="19050" rIns="38100" bIns="19050" anchor="ctr" anchorCtr="0">
                  <a:spAutoFit/>
                </a:bodyPr>
                <a:lstStyle/>
                <a:p>
                  <a:pPr algn="l">
                    <a:defRPr sz="900">
                      <a:latin typeface="Arial" panose="020B0604020202020204" pitchFamily="34" charset="0"/>
                      <a:ea typeface="Open Sans Light" panose="020B0306030504020204" pitchFamily="34" charset="0"/>
                      <a:cs typeface="Arial" panose="020B0604020202020204" pitchFamily="34" charset="0"/>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EA90-4AD3-ABE4-5B34F4836766}"/>
                </c:ext>
              </c:extLst>
            </c:dLbl>
            <c:dLbl>
              <c:idx val="3"/>
              <c:layout>
                <c:manualLayout>
                  <c:x val="1.1579395332181518E-2"/>
                  <c:y val="-2.631578168380152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D4E3-40AF-8345-71890A74772B}"/>
                </c:ext>
              </c:extLst>
            </c:dLbl>
            <c:dLbl>
              <c:idx val="4"/>
              <c:layout>
                <c:manualLayout>
                  <c:x val="1.158161418747738E-2"/>
                  <c:y val="-2.674156309700396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D4E3-40AF-8345-71890A74772B}"/>
                </c:ext>
              </c:extLst>
            </c:dLbl>
            <c:spPr>
              <a:noFill/>
              <a:ln>
                <a:noFill/>
              </a:ln>
              <a:effectLst/>
            </c:spPr>
            <c:txPr>
              <a:bodyPr wrap="square" lIns="38100" tIns="19050" rIns="38100" bIns="19050" anchor="ctr" anchorCtr="0">
                <a:spAutoFit/>
              </a:bodyPr>
              <a:lstStyle/>
              <a:p>
                <a:pPr algn="l">
                  <a:defRPr sz="900">
                    <a:latin typeface="Arial" panose="020B0604020202020204" pitchFamily="34" charset="0"/>
                    <a:ea typeface="Open Sans Light" panose="020B0306030504020204" pitchFamily="34" charset="0"/>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SUMEXPEN!$P$1329:$T$1329</c:f>
              <c:strCache>
                <c:ptCount val="5"/>
                <c:pt idx="0">
                  <c:v>2021-2022</c:v>
                </c:pt>
                <c:pt idx="1">
                  <c:v>2022-2023</c:v>
                </c:pt>
                <c:pt idx="2">
                  <c:v>2023-2024</c:v>
                </c:pt>
                <c:pt idx="3">
                  <c:v>2024-2025</c:v>
                </c:pt>
                <c:pt idx="4">
                  <c:v>2025-2026</c:v>
                </c:pt>
              </c:strCache>
            </c:strRef>
          </c:cat>
          <c:val>
            <c:numRef>
              <c:f>SUMEXPEN!$P$1330:$T$1330</c:f>
              <c:numCache>
                <c:formatCode>#,##0.0</c:formatCode>
                <c:ptCount val="5"/>
                <c:pt idx="0">
                  <c:v>99</c:v>
                </c:pt>
                <c:pt idx="1">
                  <c:v>67.5</c:v>
                </c:pt>
                <c:pt idx="2">
                  <c:v>70.7</c:v>
                </c:pt>
                <c:pt idx="3">
                  <c:v>82.5</c:v>
                </c:pt>
                <c:pt idx="4">
                  <c:v>70</c:v>
                </c:pt>
              </c:numCache>
            </c:numRef>
          </c:val>
          <c:shape val="pyramid"/>
          <c:extLst>
            <c:ext xmlns:c16="http://schemas.microsoft.com/office/drawing/2014/chart" uri="{C3380CC4-5D6E-409C-BE32-E72D297353CC}">
              <c16:uniqueId val="{00000000-03ED-42F9-B639-8C83BB0EB494}"/>
            </c:ext>
          </c:extLst>
        </c:ser>
        <c:dLbls>
          <c:showLegendKey val="0"/>
          <c:showVal val="1"/>
          <c:showCatName val="0"/>
          <c:showSerName val="0"/>
          <c:showPercent val="0"/>
          <c:showBubbleSize val="0"/>
        </c:dLbls>
        <c:gapWidth val="150"/>
        <c:shape val="box"/>
        <c:axId val="128185088"/>
        <c:axId val="128186624"/>
        <c:axId val="0"/>
      </c:bar3DChart>
      <c:catAx>
        <c:axId val="128185088"/>
        <c:scaling>
          <c:orientation val="minMax"/>
        </c:scaling>
        <c:delete val="0"/>
        <c:axPos val="b"/>
        <c:numFmt formatCode="General" sourceLinked="1"/>
        <c:majorTickMark val="none"/>
        <c:minorTickMark val="none"/>
        <c:tickLblPos val="nextTo"/>
        <c:spPr>
          <a:noFill/>
        </c:spPr>
        <c:txPr>
          <a:bodyPr rot="0" anchor="t" anchorCtr="0"/>
          <a:lstStyle/>
          <a:p>
            <a:pPr>
              <a:defRPr sz="900" b="0" baseline="0">
                <a:solidFill>
                  <a:sysClr val="windowText" lastClr="000000"/>
                </a:solidFill>
                <a:latin typeface="Arial" panose="020B0604020202020204" pitchFamily="34" charset="0"/>
                <a:ea typeface="Open Sans" panose="020B0606030504020204" pitchFamily="34" charset="0"/>
                <a:cs typeface="Arial" panose="020B0604020202020204" pitchFamily="34" charset="0"/>
              </a:defRPr>
            </a:pPr>
            <a:endParaRPr lang="en-US"/>
          </a:p>
        </c:txPr>
        <c:crossAx val="128186624"/>
        <c:crosses val="autoZero"/>
        <c:auto val="1"/>
        <c:lblAlgn val="ctr"/>
        <c:lblOffset val="100"/>
        <c:noMultiLvlLbl val="0"/>
      </c:catAx>
      <c:valAx>
        <c:axId val="128186624"/>
        <c:scaling>
          <c:orientation val="minMax"/>
        </c:scaling>
        <c:delete val="0"/>
        <c:axPos val="l"/>
        <c:majorGridlines>
          <c:spPr>
            <a:ln>
              <a:solidFill>
                <a:srgbClr val="53565A"/>
              </a:solidFill>
            </a:ln>
          </c:spPr>
        </c:majorGridlines>
        <c:numFmt formatCode="#,##0.0" sourceLinked="1"/>
        <c:majorTickMark val="none"/>
        <c:minorTickMark val="none"/>
        <c:tickLblPos val="nextTo"/>
        <c:spPr>
          <a:ln>
            <a:solidFill>
              <a:srgbClr val="53565A"/>
            </a:solidFill>
          </a:ln>
        </c:spPr>
        <c:txPr>
          <a:bodyPr/>
          <a:lstStyle/>
          <a:p>
            <a:pPr>
              <a:defRPr sz="900" baseline="0">
                <a:latin typeface="Arial" panose="020B0604020202020204" pitchFamily="34" charset="0"/>
                <a:ea typeface="Open Sans" panose="020B0606030504020204" pitchFamily="34" charset="0"/>
                <a:cs typeface="Arial" panose="020B0604020202020204" pitchFamily="34" charset="0"/>
              </a:defRPr>
            </a:pPr>
            <a:endParaRPr lang="en-US"/>
          </a:p>
        </c:txPr>
        <c:crossAx val="128185088"/>
        <c:crosses val="autoZero"/>
        <c:crossBetween val="between"/>
      </c:valAx>
      <c:spPr>
        <a:noFill/>
        <a:ln>
          <a:noFill/>
        </a:ln>
      </c:spPr>
    </c:plotArea>
    <c:plotVisOnly val="1"/>
    <c:dispBlanksAs val="gap"/>
    <c:showDLblsOverMax val="0"/>
  </c:chart>
  <c:spPr>
    <a:noFill/>
    <a:ln>
      <a:solidFill>
        <a:srgbClr val="53565A"/>
      </a:solidFill>
    </a:ln>
  </c:spPr>
  <c:printSettings>
    <c:headerFooter/>
    <c:pageMargins b="0.75" l="0.7" r="0.7" t="0.75" header="0.3" footer="0.3"/>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34"/>
    </mc:Choice>
    <mc:Fallback>
      <c:style val="34"/>
    </mc:Fallback>
  </mc:AlternateContent>
  <c:clrMapOvr bg1="lt1" tx1="dk1" bg2="lt2" tx2="dk2" accent1="accent1" accent2="accent2" accent3="accent3" accent4="accent4" accent5="accent5" accent6="accent6" hlink="hlink" folHlink="folHlink"/>
  <c:chart>
    <c:title>
      <c:tx>
        <c:rich>
          <a:bodyPr/>
          <a:lstStyle/>
          <a:p>
            <a:pPr algn="ctr" rtl="0">
              <a:defRPr lang="en-US" sz="1400" b="0" i="0" u="none" strike="noStrike" kern="1200" baseline="0">
                <a:solidFill>
                  <a:srgbClr val="005587"/>
                </a:solidFill>
                <a:latin typeface="Open Sans Semibold" panose="020B0706030804020204" pitchFamily="34" charset="0"/>
                <a:ea typeface="Open Sans Semibold" panose="020B0706030804020204" pitchFamily="34" charset="0"/>
                <a:cs typeface="Open Sans Semibold" panose="020B0706030804020204" pitchFamily="34" charset="0"/>
              </a:defRPr>
            </a:pPr>
            <a:r>
              <a:rPr lang="en-US" sz="1400" b="0" i="0" u="none" strike="noStrike" kern="1200" baseline="0">
                <a:solidFill>
                  <a:srgbClr val="005587"/>
                </a:solidFill>
                <a:latin typeface="Arial" panose="020B0604020202020204" pitchFamily="34" charset="0"/>
                <a:ea typeface="Open Sans Semibold" panose="020B0706030804020204" pitchFamily="34" charset="0"/>
                <a:cs typeface="Arial" panose="020B0604020202020204" pitchFamily="34" charset="0"/>
              </a:rPr>
              <a:t>Summary of General Fund Expenditures by Function</a:t>
            </a:r>
          </a:p>
        </c:rich>
      </c:tx>
      <c:overlay val="0"/>
    </c:title>
    <c:autoTitleDeleted val="0"/>
    <c:view3D>
      <c:rotX val="15"/>
      <c:rotY val="20"/>
      <c:depthPercent val="100"/>
      <c:rAngAx val="1"/>
    </c:view3D>
    <c:floor>
      <c:thickness val="0"/>
      <c:spPr>
        <a:gradFill flip="none" rotWithShape="1">
          <a:gsLst>
            <a:gs pos="0">
              <a:srgbClr val="12284C">
                <a:lumMod val="5000"/>
                <a:lumOff val="95000"/>
              </a:srgbClr>
            </a:gs>
            <a:gs pos="74000">
              <a:srgbClr val="12284C">
                <a:lumMod val="45000"/>
                <a:lumOff val="55000"/>
              </a:srgbClr>
            </a:gs>
            <a:gs pos="83000">
              <a:srgbClr val="12284C">
                <a:lumMod val="45000"/>
                <a:lumOff val="55000"/>
              </a:srgbClr>
            </a:gs>
            <a:gs pos="100000">
              <a:srgbClr val="12284C">
                <a:lumMod val="30000"/>
                <a:lumOff val="70000"/>
              </a:srgbClr>
            </a:gs>
          </a:gsLst>
          <a:path path="circle">
            <a:fillToRect l="100000" t="100000"/>
          </a:path>
          <a:tileRect r="-100000" b="-100000"/>
        </a:gradFill>
        <a:ln>
          <a:solidFill>
            <a:srgbClr val="12284C"/>
          </a:solidFill>
        </a:ln>
      </c:spPr>
    </c:floor>
    <c:sideWall>
      <c:thickness val="0"/>
      <c:spPr>
        <a:gradFill flip="none" rotWithShape="1">
          <a:gsLst>
            <a:gs pos="0">
              <a:srgbClr val="12284C">
                <a:lumMod val="5000"/>
                <a:lumOff val="95000"/>
              </a:srgbClr>
            </a:gs>
            <a:gs pos="74000">
              <a:srgbClr val="12284C">
                <a:lumMod val="45000"/>
                <a:lumOff val="55000"/>
              </a:srgbClr>
            </a:gs>
            <a:gs pos="83000">
              <a:srgbClr val="12284C">
                <a:lumMod val="45000"/>
                <a:lumOff val="55000"/>
              </a:srgbClr>
            </a:gs>
            <a:gs pos="100000">
              <a:srgbClr val="12284C">
                <a:lumMod val="30000"/>
                <a:lumOff val="70000"/>
              </a:srgbClr>
            </a:gs>
          </a:gsLst>
          <a:path path="circle">
            <a:fillToRect l="100000" t="100000"/>
          </a:path>
          <a:tileRect r="-100000" b="-100000"/>
        </a:gradFill>
        <a:ln>
          <a:solidFill>
            <a:srgbClr val="12284C"/>
          </a:solidFill>
        </a:ln>
      </c:spPr>
    </c:sideWall>
    <c:backWall>
      <c:thickness val="0"/>
      <c:spPr>
        <a:gradFill flip="none" rotWithShape="1">
          <a:gsLst>
            <a:gs pos="0">
              <a:srgbClr val="12284C">
                <a:lumMod val="5000"/>
                <a:lumOff val="95000"/>
              </a:srgbClr>
            </a:gs>
            <a:gs pos="74000">
              <a:srgbClr val="12284C">
                <a:lumMod val="45000"/>
                <a:lumOff val="55000"/>
              </a:srgbClr>
            </a:gs>
            <a:gs pos="83000">
              <a:srgbClr val="12284C">
                <a:lumMod val="45000"/>
                <a:lumOff val="55000"/>
              </a:srgbClr>
            </a:gs>
            <a:gs pos="100000">
              <a:srgbClr val="12284C">
                <a:lumMod val="30000"/>
                <a:lumOff val="70000"/>
              </a:srgbClr>
            </a:gs>
          </a:gsLst>
          <a:path path="circle">
            <a:fillToRect l="100000" t="100000"/>
          </a:path>
          <a:tileRect r="-100000" b="-100000"/>
        </a:gradFill>
        <a:ln>
          <a:solidFill>
            <a:srgbClr val="12284C"/>
          </a:solidFill>
        </a:ln>
      </c:spPr>
    </c:backWall>
    <c:plotArea>
      <c:layout>
        <c:manualLayout>
          <c:layoutTarget val="inner"/>
          <c:xMode val="edge"/>
          <c:yMode val="edge"/>
          <c:x val="7.2835046345621199E-2"/>
          <c:y val="0.13407672863944212"/>
          <c:w val="0.82797458008469327"/>
          <c:h val="0.64475711625952525"/>
        </c:manualLayout>
      </c:layout>
      <c:bar3DChart>
        <c:barDir val="col"/>
        <c:grouping val="clustered"/>
        <c:varyColors val="0"/>
        <c:ser>
          <c:idx val="0"/>
          <c:order val="0"/>
          <c:tx>
            <c:strRef>
              <c:f>SUMEXPEN!$P$86</c:f>
              <c:strCache>
                <c:ptCount val="1"/>
                <c:pt idx="0">
                  <c:v>2023-2024</c:v>
                </c:pt>
              </c:strCache>
            </c:strRef>
          </c:tx>
          <c:spPr>
            <a:solidFill>
              <a:srgbClr val="FFA400"/>
            </a:solidFill>
            <a:ln>
              <a:solidFill>
                <a:srgbClr val="D28700"/>
              </a:solidFill>
            </a:ln>
          </c:spPr>
          <c:invertIfNegative val="0"/>
          <c:dLbls>
            <c:dLbl>
              <c:idx val="0"/>
              <c:layout>
                <c:manualLayout>
                  <c:x val="-2.7293364173900086E-3"/>
                  <c:y val="-8.1510395156591517E-2"/>
                </c:manualLayout>
              </c:layout>
              <c:spPr>
                <a:noFill/>
                <a:ln>
                  <a:noFill/>
                </a:ln>
                <a:effectLst/>
              </c:spPr>
              <c:txPr>
                <a:bodyPr rot="-5400000" vertOverflow="clip" horzOverflow="clip" vert="horz" wrap="square" lIns="0" tIns="0" rIns="0" bIns="0" numCol="1" spcCol="0" anchor="ctr" anchorCtr="0">
                  <a:noAutofit/>
                </a:bodyPr>
                <a:lstStyle/>
                <a:p>
                  <a:pPr algn="l">
                    <a:defRPr sz="900">
                      <a:latin typeface="Arial" panose="020B0604020202020204" pitchFamily="34" charset="0"/>
                      <a:ea typeface="Open Sans Light" panose="020B0306030504020204" pitchFamily="34" charset="0"/>
                      <a:cs typeface="Arial" panose="020B0604020202020204" pitchFamily="34" charset="0"/>
                    </a:defRPr>
                  </a:pPr>
                  <a:endParaRPr lang="en-US"/>
                </a:p>
              </c:txPr>
              <c:showLegendKey val="0"/>
              <c:showVal val="1"/>
              <c:showCatName val="0"/>
              <c:showSerName val="0"/>
              <c:showPercent val="0"/>
              <c:showBubbleSize val="0"/>
              <c:extLst>
                <c:ext xmlns:c15="http://schemas.microsoft.com/office/drawing/2012/chart" uri="{CE6537A1-D6FC-4f65-9D91-7224C49458BB}">
                  <c15:layout>
                    <c:manualLayout>
                      <c:w val="8.2231374097685078E-2"/>
                      <c:h val="6.763604785366191E-2"/>
                    </c:manualLayout>
                  </c15:layout>
                </c:ext>
                <c:ext xmlns:c16="http://schemas.microsoft.com/office/drawing/2014/chart" uri="{C3380CC4-5D6E-409C-BE32-E72D297353CC}">
                  <c16:uniqueId val="{00000000-8A83-4DA7-9913-C7DA935F625B}"/>
                </c:ext>
              </c:extLst>
            </c:dLbl>
            <c:spPr>
              <a:noFill/>
              <a:ln>
                <a:noFill/>
              </a:ln>
              <a:effectLst/>
            </c:spPr>
            <c:txPr>
              <a:bodyPr rot="-5400000" vertOverflow="clip" horzOverflow="clip" vert="horz" wrap="square" lIns="0" tIns="0" rIns="0" bIns="0" numCol="1" spcCol="0" anchor="ctr" anchorCtr="0">
                <a:spAutoFit/>
              </a:bodyPr>
              <a:lstStyle/>
              <a:p>
                <a:pPr algn="l">
                  <a:defRPr sz="900">
                    <a:latin typeface="Arial" panose="020B0604020202020204" pitchFamily="34" charset="0"/>
                    <a:ea typeface="Open Sans Light" panose="020B0306030504020204" pitchFamily="34" charset="0"/>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cat>
            <c:strRef>
              <c:f>(SUMEXPEN!$O$87:$O$92,SUMEXPEN!$O$94)</c:f>
              <c:strCache>
                <c:ptCount val="7"/>
                <c:pt idx="0">
                  <c:v>Instruction</c:v>
                </c:pt>
                <c:pt idx="1">
                  <c:v>Student Support</c:v>
                </c:pt>
                <c:pt idx="3">
                  <c:v>Administration &amp; Support</c:v>
                </c:pt>
                <c:pt idx="4">
                  <c:v>Operations &amp; Maintenance</c:v>
                </c:pt>
                <c:pt idx="5">
                  <c:v>Transportation</c:v>
                </c:pt>
                <c:pt idx="6">
                  <c:v>Other Costs</c:v>
                </c:pt>
              </c:strCache>
            </c:strRef>
          </c:cat>
          <c:val>
            <c:numRef>
              <c:f>(SUMEXPEN!$P$87:$P$92,SUMEXPEN!$P$94)</c:f>
              <c:numCache>
                <c:formatCode>"$"#,##0</c:formatCode>
                <c:ptCount val="7"/>
                <c:pt idx="0">
                  <c:v>450094</c:v>
                </c:pt>
                <c:pt idx="1">
                  <c:v>0</c:v>
                </c:pt>
                <c:pt idx="2">
                  <c:v>#N/A</c:v>
                </c:pt>
                <c:pt idx="3">
                  <c:v>187591</c:v>
                </c:pt>
                <c:pt idx="4">
                  <c:v>8552</c:v>
                </c:pt>
                <c:pt idx="5">
                  <c:v>14681</c:v>
                </c:pt>
                <c:pt idx="6">
                  <c:v>7174</c:v>
                </c:pt>
              </c:numCache>
            </c:numRef>
          </c:val>
          <c:extLst>
            <c:ext xmlns:c16="http://schemas.microsoft.com/office/drawing/2014/chart" uri="{C3380CC4-5D6E-409C-BE32-E72D297353CC}">
              <c16:uniqueId val="{00000000-03ED-42F9-B639-8C83BB0EB494}"/>
            </c:ext>
          </c:extLst>
        </c:ser>
        <c:ser>
          <c:idx val="1"/>
          <c:order val="1"/>
          <c:tx>
            <c:strRef>
              <c:f>SUMEXPEN!$Q$86</c:f>
              <c:strCache>
                <c:ptCount val="1"/>
                <c:pt idx="0">
                  <c:v>2024-2025</c:v>
                </c:pt>
              </c:strCache>
            </c:strRef>
          </c:tx>
          <c:spPr>
            <a:solidFill>
              <a:srgbClr val="D50032"/>
            </a:solidFill>
            <a:ln>
              <a:solidFill>
                <a:srgbClr val="B7312C"/>
              </a:solidFill>
            </a:ln>
          </c:spPr>
          <c:invertIfNegative val="0"/>
          <c:dLbls>
            <c:dLbl>
              <c:idx val="0"/>
              <c:layout>
                <c:manualLayout>
                  <c:x val="5.3729210153746133E-8"/>
                  <c:y val="-9.2142185829190371E-2"/>
                </c:manualLayout>
              </c:layout>
              <c:spPr>
                <a:noFill/>
                <a:ln>
                  <a:noFill/>
                </a:ln>
                <a:effectLst/>
              </c:spPr>
              <c:txPr>
                <a:bodyPr rot="-5400000" vertOverflow="clip" horzOverflow="clip" vert="horz" wrap="square" lIns="38100" tIns="19050" rIns="38100" bIns="19050" anchor="ctr" anchorCtr="0">
                  <a:noAutofit/>
                </a:bodyPr>
                <a:lstStyle/>
                <a:p>
                  <a:pPr algn="l">
                    <a:defRPr sz="900">
                      <a:latin typeface="Arial" panose="020B0604020202020204" pitchFamily="34" charset="0"/>
                      <a:ea typeface="Open Sans Light" panose="020B0306030504020204" pitchFamily="34" charset="0"/>
                      <a:cs typeface="Arial" panose="020B0604020202020204" pitchFamily="34" charset="0"/>
                    </a:defRPr>
                  </a:pPr>
                  <a:endParaRPr lang="en-US"/>
                </a:p>
              </c:txPr>
              <c:showLegendKey val="0"/>
              <c:showVal val="1"/>
              <c:showCatName val="0"/>
              <c:showSerName val="0"/>
              <c:showPercent val="0"/>
              <c:showBubbleSize val="0"/>
              <c:extLst>
                <c:ext xmlns:c15="http://schemas.microsoft.com/office/drawing/2012/chart" uri="{CE6537A1-D6FC-4f65-9D91-7224C49458BB}">
                  <c15:layout>
                    <c:manualLayout>
                      <c:w val="9.3149149600926281E-2"/>
                      <c:h val="5.346032695686339E-2"/>
                    </c:manualLayout>
                  </c15:layout>
                </c:ext>
                <c:ext xmlns:c16="http://schemas.microsoft.com/office/drawing/2014/chart" uri="{C3380CC4-5D6E-409C-BE32-E72D297353CC}">
                  <c16:uniqueId val="{00000001-8A83-4DA7-9913-C7DA935F625B}"/>
                </c:ext>
              </c:extLst>
            </c:dLbl>
            <c:spPr>
              <a:noFill/>
              <a:ln>
                <a:noFill/>
              </a:ln>
              <a:effectLst/>
            </c:spPr>
            <c:txPr>
              <a:bodyPr rot="-5400000" vertOverflow="clip" horzOverflow="clip" vert="horz" wrap="square" lIns="38100" tIns="19050" rIns="38100" bIns="19050" anchor="ctr" anchorCtr="0">
                <a:spAutoFit/>
              </a:bodyPr>
              <a:lstStyle/>
              <a:p>
                <a:pPr algn="l">
                  <a:defRPr sz="900">
                    <a:latin typeface="Arial" panose="020B0604020202020204" pitchFamily="34" charset="0"/>
                    <a:ea typeface="Open Sans Light" panose="020B0306030504020204" pitchFamily="34" charset="0"/>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(SUMEXPEN!$O$87:$O$92,SUMEXPEN!$O$94)</c:f>
              <c:strCache>
                <c:ptCount val="7"/>
                <c:pt idx="0">
                  <c:v>Instruction</c:v>
                </c:pt>
                <c:pt idx="1">
                  <c:v>Student Support</c:v>
                </c:pt>
                <c:pt idx="3">
                  <c:v>Administration &amp; Support</c:v>
                </c:pt>
                <c:pt idx="4">
                  <c:v>Operations &amp; Maintenance</c:v>
                </c:pt>
                <c:pt idx="5">
                  <c:v>Transportation</c:v>
                </c:pt>
                <c:pt idx="6">
                  <c:v>Other Costs</c:v>
                </c:pt>
              </c:strCache>
            </c:strRef>
          </c:cat>
          <c:val>
            <c:numRef>
              <c:f>(SUMEXPEN!$Q$87:$Q$92,SUMEXPEN!$Q$94)</c:f>
              <c:numCache>
                <c:formatCode>"$"#,##0</c:formatCode>
                <c:ptCount val="7"/>
                <c:pt idx="0">
                  <c:v>509814</c:v>
                </c:pt>
                <c:pt idx="1">
                  <c:v>267</c:v>
                </c:pt>
                <c:pt idx="2">
                  <c:v>#N/A</c:v>
                </c:pt>
                <c:pt idx="3">
                  <c:v>176165</c:v>
                </c:pt>
                <c:pt idx="4">
                  <c:v>5731</c:v>
                </c:pt>
                <c:pt idx="5">
                  <c:v>7803</c:v>
                </c:pt>
                <c:pt idx="6">
                  <c:v>219</c:v>
                </c:pt>
              </c:numCache>
            </c:numRef>
          </c:val>
          <c:extLst>
            <c:ext xmlns:c16="http://schemas.microsoft.com/office/drawing/2014/chart" uri="{C3380CC4-5D6E-409C-BE32-E72D297353CC}">
              <c16:uniqueId val="{00000001-03ED-42F9-B639-8C83BB0EB494}"/>
            </c:ext>
          </c:extLst>
        </c:ser>
        <c:ser>
          <c:idx val="2"/>
          <c:order val="2"/>
          <c:tx>
            <c:strRef>
              <c:f>SUMEXPEN!$R$86</c:f>
              <c:strCache>
                <c:ptCount val="1"/>
                <c:pt idx="0">
                  <c:v>2025-2026</c:v>
                </c:pt>
              </c:strCache>
            </c:strRef>
          </c:tx>
          <c:spPr>
            <a:solidFill>
              <a:srgbClr val="00B796"/>
            </a:solidFill>
            <a:ln>
              <a:solidFill>
                <a:srgbClr val="008269"/>
              </a:solidFill>
            </a:ln>
          </c:spPr>
          <c:invertIfNegative val="0"/>
          <c:dLbls>
            <c:dLbl>
              <c:idx val="0"/>
              <c:layout>
                <c:manualLayout>
                  <c:x val="3.7037698779965739E-3"/>
                  <c:y val="2.9239458119876848E-3"/>
                </c:manualLayout>
              </c:layout>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2-3542-4363-8AC6-8E590374E724}"/>
                </c:ext>
              </c:extLst>
            </c:dLbl>
            <c:dLbl>
              <c:idx val="1"/>
              <c:layout>
                <c:manualLayout>
                  <c:x val="3.843501944714554E-3"/>
                  <c:y val="2.1330480127978724E-3"/>
                </c:manualLayout>
              </c:layout>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0-A29D-4297-829F-F2A4BB1D8268}"/>
                </c:ext>
              </c:extLst>
            </c:dLbl>
            <c:dLbl>
              <c:idx val="2"/>
              <c:layout>
                <c:manualLayout>
                  <c:x val="5.6487475897410164E-3"/>
                  <c:y val="-5.7825192695241242E-3"/>
                </c:manualLayout>
              </c:layout>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1-A29D-4297-829F-F2A4BB1D8268}"/>
                </c:ext>
              </c:extLst>
            </c:dLbl>
            <c:dLbl>
              <c:idx val="3"/>
              <c:layout>
                <c:manualLayout>
                  <c:x val="3.7968411209221118E-3"/>
                  <c:y val="-8.9265161116074219E-3"/>
                </c:manualLayout>
              </c:layout>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2-A29D-4297-829F-F2A4BB1D8268}"/>
                </c:ext>
              </c:extLst>
            </c:dLbl>
            <c:dLbl>
              <c:idx val="4"/>
              <c:layout>
                <c:manualLayout>
                  <c:x val="7.4853050888708927E-3"/>
                  <c:y val="2.0729899705447022E-3"/>
                </c:manualLayout>
              </c:layout>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3-A29D-4297-829F-F2A4BB1D8268}"/>
                </c:ext>
              </c:extLst>
            </c:dLbl>
            <c:dLbl>
              <c:idx val="5"/>
              <c:layout>
                <c:manualLayout>
                  <c:x val="7.0417653226110587E-3"/>
                  <c:y val="1.1675166830514897E-4"/>
                </c:manualLayout>
              </c:layout>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4-A29D-4297-829F-F2A4BB1D8268}"/>
                </c:ext>
              </c:extLst>
            </c:dLbl>
            <c:dLbl>
              <c:idx val="6"/>
              <c:layout>
                <c:manualLayout>
                  <c:x val="5.6487475897408794E-3"/>
                  <c:y val="-5.7825192695241242E-3"/>
                </c:manualLayout>
              </c:layout>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5-A29D-4297-829F-F2A4BB1D8268}"/>
                </c:ext>
              </c:extLst>
            </c:dLbl>
            <c:dLbl>
              <c:idx val="7"/>
              <c:layout>
                <c:manualLayout>
                  <c:x val="3.1199477752077306E-3"/>
                  <c:y val="-9.0172095484084124E-3"/>
                </c:manualLayout>
              </c:layout>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6-A29D-4297-829F-F2A4BB1D8268}"/>
                </c:ext>
              </c:extLst>
            </c:dLbl>
            <c:dLbl>
              <c:idx val="8"/>
              <c:layout>
                <c:manualLayout>
                  <c:x val="4.8750661540899014E-3"/>
                  <c:y val="-8.4211595516453883E-3"/>
                </c:manualLayout>
              </c:layout>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7-A29D-4297-829F-F2A4BB1D8268}"/>
                </c:ext>
              </c:extLst>
            </c:dLbl>
            <c:spPr>
              <a:noFill/>
              <a:ln>
                <a:noFill/>
              </a:ln>
              <a:effectLst/>
            </c:spPr>
            <c:txPr>
              <a:bodyPr rot="-5400000" vertOverflow="clip" horzOverflow="clip" vert="horz" wrap="square" lIns="38100" tIns="19050" rIns="38100" bIns="19050" anchor="ctr" anchorCtr="0">
                <a:spAutoFit/>
              </a:bodyPr>
              <a:lstStyle/>
              <a:p>
                <a:pPr algn="l">
                  <a:defRPr sz="900">
                    <a:latin typeface="Arial" panose="020B0604020202020204" pitchFamily="34" charset="0"/>
                    <a:ea typeface="Open Sans Light" panose="020B0306030504020204" pitchFamily="34" charset="0"/>
                    <a:cs typeface="Arial" panose="020B0604020202020204" pitchFamily="34" charset="0"/>
                  </a:defRPr>
                </a:pPr>
                <a:endParaRPr lang="en-US"/>
              </a:p>
            </c:txPr>
            <c:showLegendKey val="0"/>
            <c:showVal val="1"/>
            <c:showCatName val="0"/>
            <c:showSerName val="0"/>
            <c:showPercent val="0"/>
            <c:showBubbleSize val="0"/>
            <c:separator> </c:separator>
            <c:showLeaderLines val="0"/>
            <c:extLst>
              <c:ext xmlns:c15="http://schemas.microsoft.com/office/drawing/2012/chart" uri="{CE6537A1-D6FC-4f65-9D91-7224C49458BB}">
                <c15:showLeaderLines val="0"/>
              </c:ext>
            </c:extLst>
          </c:dLbls>
          <c:cat>
            <c:strRef>
              <c:f>(SUMEXPEN!$O$87:$O$92,SUMEXPEN!$O$94)</c:f>
              <c:strCache>
                <c:ptCount val="7"/>
                <c:pt idx="0">
                  <c:v>Instruction</c:v>
                </c:pt>
                <c:pt idx="1">
                  <c:v>Student Support</c:v>
                </c:pt>
                <c:pt idx="3">
                  <c:v>Administration &amp; Support</c:v>
                </c:pt>
                <c:pt idx="4">
                  <c:v>Operations &amp; Maintenance</c:v>
                </c:pt>
                <c:pt idx="5">
                  <c:v>Transportation</c:v>
                </c:pt>
                <c:pt idx="6">
                  <c:v>Other Costs</c:v>
                </c:pt>
              </c:strCache>
            </c:strRef>
          </c:cat>
          <c:val>
            <c:numRef>
              <c:f>(SUMEXPEN!$R$87:$R$92,SUMEXPEN!$R$94)</c:f>
              <c:numCache>
                <c:formatCode>"$"#,##0</c:formatCode>
                <c:ptCount val="7"/>
                <c:pt idx="0">
                  <c:v>574723</c:v>
                </c:pt>
                <c:pt idx="1">
                  <c:v>0</c:v>
                </c:pt>
                <c:pt idx="2">
                  <c:v>#N/A</c:v>
                </c:pt>
                <c:pt idx="3">
                  <c:v>218700</c:v>
                </c:pt>
                <c:pt idx="4">
                  <c:v>114100</c:v>
                </c:pt>
                <c:pt idx="5">
                  <c:v>25500</c:v>
                </c:pt>
                <c:pt idx="6">
                  <c:v>0</c:v>
                </c:pt>
              </c:numCache>
            </c:numRef>
          </c:val>
          <c:extLst>
            <c:ext xmlns:c16="http://schemas.microsoft.com/office/drawing/2014/chart" uri="{C3380CC4-5D6E-409C-BE32-E72D297353CC}">
              <c16:uniqueId val="{00000002-03ED-42F9-B639-8C83BB0EB494}"/>
            </c:ext>
          </c:extLst>
        </c:ser>
        <c:dLbls>
          <c:showLegendKey val="0"/>
          <c:showVal val="1"/>
          <c:showCatName val="0"/>
          <c:showSerName val="0"/>
          <c:showPercent val="0"/>
          <c:showBubbleSize val="0"/>
        </c:dLbls>
        <c:gapWidth val="150"/>
        <c:shape val="box"/>
        <c:axId val="128185088"/>
        <c:axId val="128186624"/>
        <c:axId val="0"/>
      </c:bar3DChart>
      <c:catAx>
        <c:axId val="128185088"/>
        <c:scaling>
          <c:orientation val="minMax"/>
        </c:scaling>
        <c:delete val="0"/>
        <c:axPos val="b"/>
        <c:numFmt formatCode="General" sourceLinked="1"/>
        <c:majorTickMark val="none"/>
        <c:minorTickMark val="none"/>
        <c:tickLblPos val="nextTo"/>
        <c:spPr>
          <a:noFill/>
        </c:spPr>
        <c:txPr>
          <a:bodyPr rot="0" anchor="t" anchorCtr="0"/>
          <a:lstStyle/>
          <a:p>
            <a:pPr>
              <a:defRPr sz="900" b="0" baseline="0">
                <a:solidFill>
                  <a:sysClr val="windowText" lastClr="000000"/>
                </a:solidFill>
                <a:latin typeface="Arial" panose="020B0604020202020204" pitchFamily="34" charset="0"/>
                <a:ea typeface="Open Sans" panose="020B0606030504020204" pitchFamily="34" charset="0"/>
                <a:cs typeface="Arial" panose="020B0604020202020204" pitchFamily="34" charset="0"/>
              </a:defRPr>
            </a:pPr>
            <a:endParaRPr lang="en-US"/>
          </a:p>
        </c:txPr>
        <c:crossAx val="128186624"/>
        <c:crosses val="autoZero"/>
        <c:auto val="1"/>
        <c:lblAlgn val="ctr"/>
        <c:lblOffset val="100"/>
        <c:noMultiLvlLbl val="0"/>
      </c:catAx>
      <c:valAx>
        <c:axId val="128186624"/>
        <c:scaling>
          <c:orientation val="minMax"/>
        </c:scaling>
        <c:delete val="0"/>
        <c:axPos val="l"/>
        <c:majorGridlines>
          <c:spPr>
            <a:ln>
              <a:solidFill>
                <a:srgbClr val="53565A"/>
              </a:solidFill>
            </a:ln>
          </c:spPr>
        </c:majorGridlines>
        <c:numFmt formatCode="&quot;$&quot;#,##0" sourceLinked="1"/>
        <c:majorTickMark val="none"/>
        <c:minorTickMark val="none"/>
        <c:tickLblPos val="nextTo"/>
        <c:spPr>
          <a:ln>
            <a:solidFill>
              <a:srgbClr val="53565A"/>
            </a:solidFill>
          </a:ln>
        </c:spPr>
        <c:txPr>
          <a:bodyPr/>
          <a:lstStyle/>
          <a:p>
            <a:pPr>
              <a:defRPr sz="900" baseline="0">
                <a:latin typeface="Arial" panose="020B0604020202020204" pitchFamily="34" charset="0"/>
                <a:ea typeface="Open Sans" panose="020B0606030504020204" pitchFamily="34" charset="0"/>
                <a:cs typeface="Arial" panose="020B0604020202020204" pitchFamily="34" charset="0"/>
              </a:defRPr>
            </a:pPr>
            <a:endParaRPr lang="en-US"/>
          </a:p>
        </c:txPr>
        <c:crossAx val="128185088"/>
        <c:crosses val="autoZero"/>
        <c:crossBetween val="between"/>
      </c:valAx>
      <c:spPr>
        <a:solidFill>
          <a:schemeClr val="bg1"/>
        </a:solidFill>
        <a:ln>
          <a:noFill/>
        </a:ln>
      </c:spPr>
    </c:plotArea>
    <c:legend>
      <c:legendPos val="r"/>
      <c:layout>
        <c:manualLayout>
          <c:xMode val="edge"/>
          <c:yMode val="edge"/>
          <c:x val="0.90137033578610548"/>
          <c:y val="0.79002084615966217"/>
          <c:w val="9.6564415929897771E-2"/>
          <c:h val="0.20905102180146556"/>
        </c:manualLayout>
      </c:layout>
      <c:overlay val="0"/>
      <c:txPr>
        <a:bodyPr/>
        <a:lstStyle/>
        <a:p>
          <a:pPr>
            <a:defRPr sz="900" b="0">
              <a:solidFill>
                <a:sysClr val="windowText" lastClr="000000"/>
              </a:solidFill>
              <a:latin typeface="Arial" panose="020B0604020202020204" pitchFamily="34" charset="0"/>
              <a:ea typeface="Open Sans" panose="020B0606030504020204" pitchFamily="34" charset="0"/>
              <a:cs typeface="Arial" panose="020B0604020202020204" pitchFamily="34" charset="0"/>
            </a:defRPr>
          </a:pPr>
          <a:endParaRPr lang="en-US"/>
        </a:p>
      </c:txPr>
    </c:legend>
    <c:plotVisOnly val="1"/>
    <c:dispBlanksAs val="gap"/>
    <c:showDLblsOverMax val="0"/>
  </c:chart>
  <c:spPr>
    <a:noFill/>
    <a:ln>
      <a:solidFill>
        <a:srgbClr val="53565A"/>
      </a:solidFill>
    </a:ln>
  </c:spPr>
  <c:printSettings>
    <c:headerFooter/>
    <c:pageMargins b="0.75" l="0.7" r="0.7" t="0.75" header="0.3" footer="0.3"/>
    <c:pageSetup orientation="portrait"/>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34"/>
    </mc:Choice>
    <mc:Fallback>
      <c:style val="34"/>
    </mc:Fallback>
  </mc:AlternateContent>
  <c:clrMapOvr bg1="lt1" tx1="dk1" bg2="lt2" tx2="dk2" accent1="accent1" accent2="accent2" accent3="accent3" accent4="accent4" accent5="accent5" accent6="accent6" hlink="hlink" folHlink="folHlink"/>
  <c:chart>
    <c:title>
      <c:tx>
        <c:rich>
          <a:bodyPr/>
          <a:lstStyle/>
          <a:p>
            <a:pPr algn="ctr" rtl="0">
              <a:defRPr lang="en-US" sz="1400" b="0" i="0" u="none" strike="noStrike" kern="1200" baseline="0">
                <a:solidFill>
                  <a:srgbClr val="12284C"/>
                </a:solidFill>
                <a:latin typeface="Arial" panose="020B0604020202020204" pitchFamily="34" charset="0"/>
                <a:ea typeface="Open Sans Semibold" panose="020B0706030804020204" pitchFamily="34" charset="0"/>
                <a:cs typeface="Arial" panose="020B0604020202020204" pitchFamily="34" charset="0"/>
              </a:defRPr>
            </a:pPr>
            <a:r>
              <a:rPr lang="en-US" sz="1400" b="0" i="0" u="none" strike="noStrike" kern="1200" baseline="0">
                <a:solidFill>
                  <a:srgbClr val="12284C"/>
                </a:solidFill>
                <a:latin typeface="Arial" panose="020B0604020202020204" pitchFamily="34" charset="0"/>
                <a:ea typeface="Open Sans Semibold" panose="020B0706030804020204" pitchFamily="34" charset="0"/>
                <a:cs typeface="Arial" panose="020B0604020202020204" pitchFamily="34" charset="0"/>
              </a:rPr>
              <a:t>Total USD Mill Rate</a:t>
            </a:r>
          </a:p>
        </c:rich>
      </c:tx>
      <c:layout>
        <c:manualLayout>
          <c:xMode val="edge"/>
          <c:yMode val="edge"/>
          <c:x val="0.40766447182843185"/>
          <c:y val="4.3923717811919449E-2"/>
        </c:manualLayout>
      </c:layout>
      <c:overlay val="0"/>
    </c:title>
    <c:autoTitleDeleted val="0"/>
    <c:view3D>
      <c:rotX val="15"/>
      <c:rotY val="20"/>
      <c:depthPercent val="100"/>
      <c:rAngAx val="1"/>
    </c:view3D>
    <c:floor>
      <c:thickness val="0"/>
      <c:spPr>
        <a:gradFill flip="none" rotWithShape="1">
          <a:gsLst>
            <a:gs pos="0">
              <a:srgbClr val="12284C">
                <a:lumMod val="5000"/>
                <a:lumOff val="95000"/>
              </a:srgbClr>
            </a:gs>
            <a:gs pos="74000">
              <a:srgbClr val="12284C">
                <a:lumMod val="45000"/>
                <a:lumOff val="55000"/>
              </a:srgbClr>
            </a:gs>
            <a:gs pos="83000">
              <a:srgbClr val="12284C">
                <a:lumMod val="45000"/>
                <a:lumOff val="55000"/>
              </a:srgbClr>
            </a:gs>
            <a:gs pos="100000">
              <a:srgbClr val="12284C">
                <a:lumMod val="30000"/>
                <a:lumOff val="70000"/>
              </a:srgbClr>
            </a:gs>
          </a:gsLst>
          <a:path path="circle">
            <a:fillToRect l="100000" t="100000"/>
          </a:path>
          <a:tileRect r="-100000" b="-100000"/>
        </a:gradFill>
        <a:ln>
          <a:solidFill>
            <a:srgbClr val="12284C"/>
          </a:solidFill>
        </a:ln>
      </c:spPr>
    </c:floor>
    <c:sideWall>
      <c:thickness val="0"/>
      <c:spPr>
        <a:gradFill flip="none" rotWithShape="1">
          <a:gsLst>
            <a:gs pos="0">
              <a:srgbClr val="12284C">
                <a:lumMod val="5000"/>
                <a:lumOff val="95000"/>
              </a:srgbClr>
            </a:gs>
            <a:gs pos="74000">
              <a:srgbClr val="12284C">
                <a:lumMod val="45000"/>
                <a:lumOff val="55000"/>
              </a:srgbClr>
            </a:gs>
            <a:gs pos="83000">
              <a:srgbClr val="12284C">
                <a:lumMod val="45000"/>
                <a:lumOff val="55000"/>
              </a:srgbClr>
            </a:gs>
            <a:gs pos="100000">
              <a:srgbClr val="12284C">
                <a:lumMod val="30000"/>
                <a:lumOff val="70000"/>
              </a:srgbClr>
            </a:gs>
          </a:gsLst>
          <a:path path="circle">
            <a:fillToRect l="100000" t="100000"/>
          </a:path>
          <a:tileRect r="-100000" b="-100000"/>
        </a:gradFill>
        <a:ln>
          <a:solidFill>
            <a:srgbClr val="12284C"/>
          </a:solidFill>
        </a:ln>
      </c:spPr>
    </c:sideWall>
    <c:backWall>
      <c:thickness val="0"/>
      <c:spPr>
        <a:gradFill flip="none" rotWithShape="1">
          <a:gsLst>
            <a:gs pos="0">
              <a:srgbClr val="12284C">
                <a:lumMod val="5000"/>
                <a:lumOff val="95000"/>
              </a:srgbClr>
            </a:gs>
            <a:gs pos="74000">
              <a:srgbClr val="12284C">
                <a:lumMod val="45000"/>
                <a:lumOff val="55000"/>
              </a:srgbClr>
            </a:gs>
            <a:gs pos="83000">
              <a:srgbClr val="12284C">
                <a:lumMod val="45000"/>
                <a:lumOff val="55000"/>
              </a:srgbClr>
            </a:gs>
            <a:gs pos="100000">
              <a:srgbClr val="12284C">
                <a:lumMod val="30000"/>
                <a:lumOff val="70000"/>
              </a:srgbClr>
            </a:gs>
          </a:gsLst>
          <a:path path="circle">
            <a:fillToRect l="100000" t="100000"/>
          </a:path>
          <a:tileRect r="-100000" b="-100000"/>
        </a:gradFill>
        <a:ln>
          <a:solidFill>
            <a:srgbClr val="12284C"/>
          </a:solidFill>
        </a:ln>
      </c:spPr>
    </c:backWall>
    <c:plotArea>
      <c:layout>
        <c:manualLayout>
          <c:layoutTarget val="inner"/>
          <c:xMode val="edge"/>
          <c:yMode val="edge"/>
          <c:x val="3.0575644109563874E-2"/>
          <c:y val="0.16386807517302321"/>
          <c:w val="0.96942435589043607"/>
          <c:h val="0.72190394631117549"/>
        </c:manualLayout>
      </c:layout>
      <c:bar3DChart>
        <c:barDir val="col"/>
        <c:grouping val="clustered"/>
        <c:varyColors val="0"/>
        <c:ser>
          <c:idx val="0"/>
          <c:order val="0"/>
          <c:spPr>
            <a:solidFill>
              <a:srgbClr val="FFA400"/>
            </a:solidFill>
            <a:ln>
              <a:solidFill>
                <a:srgbClr val="D28700"/>
              </a:solidFill>
            </a:ln>
          </c:spPr>
          <c:invertIfNegative val="0"/>
          <c:dPt>
            <c:idx val="1"/>
            <c:invertIfNegative val="0"/>
            <c:bubble3D val="0"/>
            <c:spPr>
              <a:solidFill>
                <a:srgbClr val="00B796"/>
              </a:solidFill>
              <a:ln>
                <a:solidFill>
                  <a:srgbClr val="008269"/>
                </a:solidFill>
              </a:ln>
            </c:spPr>
            <c:extLst>
              <c:ext xmlns:c16="http://schemas.microsoft.com/office/drawing/2014/chart" uri="{C3380CC4-5D6E-409C-BE32-E72D297353CC}">
                <c16:uniqueId val="{00000003-EA90-4AD3-ABE4-5B34F4836766}"/>
              </c:ext>
            </c:extLst>
          </c:dPt>
          <c:dPt>
            <c:idx val="2"/>
            <c:invertIfNegative val="0"/>
            <c:bubble3D val="0"/>
            <c:spPr>
              <a:solidFill>
                <a:srgbClr val="B7312C"/>
              </a:solidFill>
              <a:ln>
                <a:solidFill>
                  <a:srgbClr val="7F241F"/>
                </a:solidFill>
              </a:ln>
            </c:spPr>
            <c:extLst>
              <c:ext xmlns:c16="http://schemas.microsoft.com/office/drawing/2014/chart" uri="{C3380CC4-5D6E-409C-BE32-E72D297353CC}">
                <c16:uniqueId val="{00000004-EA90-4AD3-ABE4-5B34F4836766}"/>
              </c:ext>
            </c:extLst>
          </c:dPt>
          <c:dPt>
            <c:idx val="3"/>
            <c:invertIfNegative val="0"/>
            <c:bubble3D val="0"/>
            <c:spPr>
              <a:solidFill>
                <a:srgbClr val="005587"/>
              </a:solidFill>
              <a:ln>
                <a:solidFill>
                  <a:srgbClr val="12284C"/>
                </a:solidFill>
              </a:ln>
            </c:spPr>
            <c:extLst>
              <c:ext xmlns:c16="http://schemas.microsoft.com/office/drawing/2014/chart" uri="{C3380CC4-5D6E-409C-BE32-E72D297353CC}">
                <c16:uniqueId val="{00000005-D4E3-40AF-8345-71890A74772B}"/>
              </c:ext>
            </c:extLst>
          </c:dPt>
          <c:dPt>
            <c:idx val="4"/>
            <c:invertIfNegative val="0"/>
            <c:bubble3D val="0"/>
            <c:spPr>
              <a:solidFill>
                <a:srgbClr val="53565A"/>
              </a:solidFill>
              <a:ln>
                <a:solidFill>
                  <a:srgbClr val="383A3C"/>
                </a:solidFill>
              </a:ln>
            </c:spPr>
            <c:extLst>
              <c:ext xmlns:c16="http://schemas.microsoft.com/office/drawing/2014/chart" uri="{C3380CC4-5D6E-409C-BE32-E72D297353CC}">
                <c16:uniqueId val="{00000006-D4E3-40AF-8345-71890A74772B}"/>
              </c:ext>
            </c:extLst>
          </c:dPt>
          <c:dLbls>
            <c:dLbl>
              <c:idx val="0"/>
              <c:layout>
                <c:manualLayout>
                  <c:x val="1.0132073464371864E-2"/>
                  <c:y val="-3.8826413992771473E-2"/>
                </c:manualLayout>
              </c:layout>
              <c:spPr>
                <a:noFill/>
                <a:ln>
                  <a:noFill/>
                </a:ln>
                <a:effectLst/>
              </c:spPr>
              <c:txPr>
                <a:bodyPr vertOverflow="clip" horzOverflow="clip" wrap="square" lIns="38100" tIns="19050" rIns="38100" bIns="19050" anchor="ctr" anchorCtr="0">
                  <a:spAutoFit/>
                </a:bodyPr>
                <a:lstStyle/>
                <a:p>
                  <a:pPr algn="l">
                    <a:defRPr sz="900">
                      <a:latin typeface="Arial" panose="020B0604020202020204" pitchFamily="34" charset="0"/>
                      <a:ea typeface="Open Sans Light" panose="020B0306030504020204" pitchFamily="34" charset="0"/>
                      <a:cs typeface="Arial" panose="020B0604020202020204" pitchFamily="34" charset="0"/>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B89A-43E1-B6B0-9C74BAE5742A}"/>
                </c:ext>
              </c:extLst>
            </c:dLbl>
            <c:dLbl>
              <c:idx val="1"/>
              <c:layout>
                <c:manualLayout>
                  <c:x val="1.5129283485714557E-2"/>
                  <c:y val="-4.8005172389448875E-2"/>
                </c:manualLayout>
              </c:layout>
              <c:spPr>
                <a:noFill/>
                <a:ln>
                  <a:noFill/>
                </a:ln>
                <a:effectLst/>
              </c:spPr>
              <c:txPr>
                <a:bodyPr vertOverflow="clip" horzOverflow="clip" wrap="none" lIns="38100" tIns="19050" rIns="38100" bIns="19050" anchor="ctr" anchorCtr="0">
                  <a:spAutoFit/>
                </a:bodyPr>
                <a:lstStyle/>
                <a:p>
                  <a:pPr algn="l">
                    <a:defRPr sz="900">
                      <a:latin typeface="Arial" panose="020B0604020202020204" pitchFamily="34" charset="0"/>
                      <a:ea typeface="Open Sans Light" panose="020B0306030504020204" pitchFamily="34" charset="0"/>
                      <a:cs typeface="Arial" panose="020B0604020202020204" pitchFamily="34" charset="0"/>
                    </a:defRPr>
                  </a:pPr>
                  <a:endParaRPr lang="en-US"/>
                </a:p>
              </c:txP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3-EA90-4AD3-ABE4-5B34F4836766}"/>
                </c:ext>
              </c:extLst>
            </c:dLbl>
            <c:dLbl>
              <c:idx val="2"/>
              <c:layout>
                <c:manualLayout>
                  <c:x val="1.3026819748704328E-2"/>
                  <c:y val="-1.5037589533600872E-2"/>
                </c:manualLayout>
              </c:layout>
              <c:spPr>
                <a:noFill/>
                <a:ln>
                  <a:noFill/>
                </a:ln>
                <a:effectLst/>
              </c:spPr>
              <c:txPr>
                <a:bodyPr vertOverflow="clip" horzOverflow="clip" wrap="square" lIns="38100" tIns="19050" rIns="38100" bIns="19050" anchor="ctr" anchorCtr="0">
                  <a:spAutoFit/>
                </a:bodyPr>
                <a:lstStyle/>
                <a:p>
                  <a:pPr algn="l">
                    <a:defRPr sz="900">
                      <a:latin typeface="Arial" panose="020B0604020202020204" pitchFamily="34" charset="0"/>
                      <a:ea typeface="Open Sans Light" panose="020B0306030504020204" pitchFamily="34" charset="0"/>
                      <a:cs typeface="Arial" panose="020B0604020202020204" pitchFamily="34" charset="0"/>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EA90-4AD3-ABE4-5B34F4836766}"/>
                </c:ext>
              </c:extLst>
            </c:dLbl>
            <c:dLbl>
              <c:idx val="3"/>
              <c:layout>
                <c:manualLayout>
                  <c:x val="1.1579395332181518E-2"/>
                  <c:y val="-2.631578168380152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D4E3-40AF-8345-71890A74772B}"/>
                </c:ext>
              </c:extLst>
            </c:dLbl>
            <c:dLbl>
              <c:idx val="4"/>
              <c:layout>
                <c:manualLayout>
                  <c:x val="1.158161418747738E-2"/>
                  <c:y val="-2.674156309700396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D4E3-40AF-8345-71890A74772B}"/>
                </c:ext>
              </c:extLst>
            </c:dLbl>
            <c:spPr>
              <a:noFill/>
              <a:ln>
                <a:noFill/>
              </a:ln>
              <a:effectLst/>
            </c:spPr>
            <c:txPr>
              <a:bodyPr wrap="square" lIns="38100" tIns="19050" rIns="38100" bIns="19050" anchor="ctr" anchorCtr="0">
                <a:spAutoFit/>
              </a:bodyPr>
              <a:lstStyle/>
              <a:p>
                <a:pPr algn="l">
                  <a:defRPr sz="900">
                    <a:latin typeface="Arial" panose="020B0604020202020204" pitchFamily="34" charset="0"/>
                    <a:ea typeface="Open Sans Light" panose="020B0306030504020204" pitchFamily="34" charset="0"/>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SUMEXPEN!$O$1402:$Q$1402</c:f>
              <c:strCache>
                <c:ptCount val="3"/>
                <c:pt idx="0">
                  <c:v>2023-2024</c:v>
                </c:pt>
                <c:pt idx="1">
                  <c:v>2024-2025</c:v>
                </c:pt>
                <c:pt idx="2">
                  <c:v>2025-2026</c:v>
                </c:pt>
              </c:strCache>
            </c:strRef>
          </c:cat>
          <c:val>
            <c:numRef>
              <c:f>SUMEXPEN!$O$1403:$Q$1403</c:f>
              <c:numCache>
                <c:formatCode>#,##0.000</c:formatCode>
                <c:ptCount val="3"/>
                <c:pt idx="0">
                  <c:v>56.031999999999996</c:v>
                </c:pt>
                <c:pt idx="1">
                  <c:v>55.904000000000003</c:v>
                </c:pt>
                <c:pt idx="2">
                  <c:v>59.728000000000002</c:v>
                </c:pt>
              </c:numCache>
            </c:numRef>
          </c:val>
          <c:shape val="pyramid"/>
          <c:extLst>
            <c:ext xmlns:c16="http://schemas.microsoft.com/office/drawing/2014/chart" uri="{C3380CC4-5D6E-409C-BE32-E72D297353CC}">
              <c16:uniqueId val="{00000000-03ED-42F9-B639-8C83BB0EB494}"/>
            </c:ext>
          </c:extLst>
        </c:ser>
        <c:dLbls>
          <c:showLegendKey val="0"/>
          <c:showVal val="1"/>
          <c:showCatName val="0"/>
          <c:showSerName val="0"/>
          <c:showPercent val="0"/>
          <c:showBubbleSize val="0"/>
        </c:dLbls>
        <c:gapWidth val="150"/>
        <c:shape val="box"/>
        <c:axId val="128185088"/>
        <c:axId val="128186624"/>
        <c:axId val="0"/>
      </c:bar3DChart>
      <c:catAx>
        <c:axId val="128185088"/>
        <c:scaling>
          <c:orientation val="minMax"/>
        </c:scaling>
        <c:delete val="0"/>
        <c:axPos val="b"/>
        <c:numFmt formatCode="General" sourceLinked="1"/>
        <c:majorTickMark val="none"/>
        <c:minorTickMark val="none"/>
        <c:tickLblPos val="nextTo"/>
        <c:spPr>
          <a:noFill/>
        </c:spPr>
        <c:txPr>
          <a:bodyPr rot="0" anchor="t" anchorCtr="0"/>
          <a:lstStyle/>
          <a:p>
            <a:pPr>
              <a:defRPr sz="900" b="0" baseline="0">
                <a:solidFill>
                  <a:sysClr val="windowText" lastClr="000000"/>
                </a:solidFill>
                <a:latin typeface="Arial" panose="020B0604020202020204" pitchFamily="34" charset="0"/>
                <a:ea typeface="Open Sans" panose="020B0606030504020204" pitchFamily="34" charset="0"/>
                <a:cs typeface="Arial" panose="020B0604020202020204" pitchFamily="34" charset="0"/>
              </a:defRPr>
            </a:pPr>
            <a:endParaRPr lang="en-US"/>
          </a:p>
        </c:txPr>
        <c:crossAx val="128186624"/>
        <c:crosses val="autoZero"/>
        <c:auto val="1"/>
        <c:lblAlgn val="ctr"/>
        <c:lblOffset val="100"/>
        <c:noMultiLvlLbl val="0"/>
      </c:catAx>
      <c:valAx>
        <c:axId val="128186624"/>
        <c:scaling>
          <c:orientation val="minMax"/>
        </c:scaling>
        <c:delete val="0"/>
        <c:axPos val="l"/>
        <c:majorGridlines>
          <c:spPr>
            <a:ln>
              <a:solidFill>
                <a:srgbClr val="53565A"/>
              </a:solidFill>
            </a:ln>
          </c:spPr>
        </c:majorGridlines>
        <c:numFmt formatCode="#,##0.000" sourceLinked="1"/>
        <c:majorTickMark val="none"/>
        <c:minorTickMark val="none"/>
        <c:tickLblPos val="nextTo"/>
        <c:spPr>
          <a:ln>
            <a:solidFill>
              <a:srgbClr val="53565A"/>
            </a:solidFill>
          </a:ln>
        </c:spPr>
        <c:txPr>
          <a:bodyPr/>
          <a:lstStyle/>
          <a:p>
            <a:pPr>
              <a:defRPr sz="900" baseline="0">
                <a:latin typeface="Arial" panose="020B0604020202020204" pitchFamily="34" charset="0"/>
                <a:ea typeface="Open Sans" panose="020B0606030504020204" pitchFamily="34" charset="0"/>
                <a:cs typeface="Arial" panose="020B0604020202020204" pitchFamily="34" charset="0"/>
              </a:defRPr>
            </a:pPr>
            <a:endParaRPr lang="en-US"/>
          </a:p>
        </c:txPr>
        <c:crossAx val="128185088"/>
        <c:crosses val="autoZero"/>
        <c:crossBetween val="between"/>
      </c:valAx>
      <c:spPr>
        <a:noFill/>
        <a:ln>
          <a:noFill/>
        </a:ln>
      </c:spPr>
    </c:plotArea>
    <c:plotVisOnly val="1"/>
    <c:dispBlanksAs val="gap"/>
    <c:showDLblsOverMax val="0"/>
  </c:chart>
  <c:spPr>
    <a:noFill/>
    <a:ln>
      <a:solidFill>
        <a:srgbClr val="53565A"/>
      </a:solidFill>
    </a:ln>
  </c:spPr>
  <c:printSettings>
    <c:headerFooter/>
    <c:pageMargins b="0.75" l="0.7" r="0.7" t="0.75" header="0.3" footer="0.3"/>
    <c:pageSetup orientation="portrait"/>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34"/>
    </mc:Choice>
    <mc:Fallback>
      <c:style val="34"/>
    </mc:Fallback>
  </mc:AlternateContent>
  <c:clrMapOvr bg1="lt1" tx1="dk1" bg2="lt2" tx2="dk2" accent1="accent1" accent2="accent2" accent3="accent3" accent4="accent4" accent5="accent5" accent6="accent6" hlink="hlink" folHlink="folHlink"/>
  <c:chart>
    <c:title>
      <c:tx>
        <c:rich>
          <a:bodyPr/>
          <a:lstStyle/>
          <a:p>
            <a:pPr algn="ctr" rtl="0">
              <a:defRPr lang="en-US" sz="1400" b="0" i="0" u="none" strike="noStrike" kern="1200" baseline="0">
                <a:solidFill>
                  <a:srgbClr val="12284C"/>
                </a:solidFill>
                <a:latin typeface="Arial" panose="020B0604020202020204" pitchFamily="34" charset="0"/>
                <a:ea typeface="Open Sans Semibold" panose="020B0706030804020204" pitchFamily="34" charset="0"/>
                <a:cs typeface="Arial" panose="020B0604020202020204" pitchFamily="34" charset="0"/>
              </a:defRPr>
            </a:pPr>
            <a:r>
              <a:rPr lang="en-US" sz="1400" b="0" i="0" u="none" strike="noStrike" kern="1200" baseline="0">
                <a:solidFill>
                  <a:srgbClr val="12284C"/>
                </a:solidFill>
                <a:latin typeface="Arial" panose="020B0604020202020204" pitchFamily="34" charset="0"/>
                <a:ea typeface="Open Sans Semibold" panose="020B0706030804020204" pitchFamily="34" charset="0"/>
                <a:cs typeface="Arial" panose="020B0604020202020204" pitchFamily="34" charset="0"/>
              </a:rPr>
              <a:t> USD Mill Rates by Fund</a:t>
            </a:r>
          </a:p>
        </c:rich>
      </c:tx>
      <c:overlay val="0"/>
    </c:title>
    <c:autoTitleDeleted val="0"/>
    <c:view3D>
      <c:rotX val="30"/>
      <c:rotY val="0"/>
      <c:rAngAx val="1"/>
    </c:view3D>
    <c:floor>
      <c:thickness val="0"/>
    </c:floor>
    <c:sideWall>
      <c:thickness val="0"/>
    </c:sideWall>
    <c:backWall>
      <c:thickness val="0"/>
    </c:backWall>
    <c:plotArea>
      <c:layout>
        <c:manualLayout>
          <c:layoutTarget val="inner"/>
          <c:xMode val="edge"/>
          <c:yMode val="edge"/>
          <c:x val="1.6305577033331667E-5"/>
          <c:y val="0.29642762546028822"/>
          <c:w val="0.85295348660482029"/>
          <c:h val="0.58120675425486823"/>
        </c:manualLayout>
      </c:layout>
      <c:pie3DChart>
        <c:varyColors val="1"/>
        <c:ser>
          <c:idx val="0"/>
          <c:order val="0"/>
          <c:dPt>
            <c:idx val="0"/>
            <c:bubble3D val="0"/>
            <c:spPr>
              <a:solidFill>
                <a:srgbClr val="FFA400"/>
              </a:solidFill>
              <a:ln>
                <a:solidFill>
                  <a:srgbClr val="D28700"/>
                </a:solidFill>
              </a:ln>
            </c:spPr>
            <c:extLst>
              <c:ext xmlns:c16="http://schemas.microsoft.com/office/drawing/2014/chart" uri="{C3380CC4-5D6E-409C-BE32-E72D297353CC}">
                <c16:uniqueId val="{00000001-6F08-487A-9C7A-02880EE3903F}"/>
              </c:ext>
            </c:extLst>
          </c:dPt>
          <c:dPt>
            <c:idx val="1"/>
            <c:bubble3D val="0"/>
            <c:spPr>
              <a:solidFill>
                <a:srgbClr val="12284C"/>
              </a:solidFill>
              <a:ln>
                <a:solidFill>
                  <a:srgbClr val="005587"/>
                </a:solidFill>
              </a:ln>
            </c:spPr>
            <c:extLst>
              <c:ext xmlns:c16="http://schemas.microsoft.com/office/drawing/2014/chart" uri="{C3380CC4-5D6E-409C-BE32-E72D297353CC}">
                <c16:uniqueId val="{00000002-6F08-487A-9C7A-02880EE3903F}"/>
              </c:ext>
            </c:extLst>
          </c:dPt>
          <c:dPt>
            <c:idx val="2"/>
            <c:bubble3D val="0"/>
            <c:spPr>
              <a:solidFill>
                <a:srgbClr val="00B796"/>
              </a:solidFill>
              <a:ln>
                <a:solidFill>
                  <a:srgbClr val="008269"/>
                </a:solidFill>
              </a:ln>
            </c:spPr>
            <c:extLst>
              <c:ext xmlns:c16="http://schemas.microsoft.com/office/drawing/2014/chart" uri="{C3380CC4-5D6E-409C-BE32-E72D297353CC}">
                <c16:uniqueId val="{00000003-6F08-487A-9C7A-02880EE3903F}"/>
              </c:ext>
            </c:extLst>
          </c:dPt>
          <c:dPt>
            <c:idx val="3"/>
            <c:bubble3D val="0"/>
            <c:spPr>
              <a:solidFill>
                <a:srgbClr val="D50032"/>
              </a:solidFill>
              <a:ln>
                <a:solidFill>
                  <a:srgbClr val="B7312C"/>
                </a:solidFill>
              </a:ln>
            </c:spPr>
            <c:extLst>
              <c:ext xmlns:c16="http://schemas.microsoft.com/office/drawing/2014/chart" uri="{C3380CC4-5D6E-409C-BE32-E72D297353CC}">
                <c16:uniqueId val="{00000000-6F08-487A-9C7A-02880EE3903F}"/>
              </c:ext>
            </c:extLst>
          </c:dPt>
          <c:dPt>
            <c:idx val="4"/>
            <c:bubble3D val="0"/>
            <c:spPr>
              <a:solidFill>
                <a:srgbClr val="D28700"/>
              </a:solidFill>
              <a:ln>
                <a:solidFill>
                  <a:srgbClr val="FFA400"/>
                </a:solidFill>
              </a:ln>
            </c:spPr>
            <c:extLst>
              <c:ext xmlns:c16="http://schemas.microsoft.com/office/drawing/2014/chart" uri="{C3380CC4-5D6E-409C-BE32-E72D297353CC}">
                <c16:uniqueId val="{00000004-6F08-487A-9C7A-02880EE3903F}"/>
              </c:ext>
            </c:extLst>
          </c:dPt>
          <c:dPt>
            <c:idx val="5"/>
            <c:bubble3D val="0"/>
            <c:spPr>
              <a:solidFill>
                <a:srgbClr val="53565A"/>
              </a:solidFill>
              <a:ln>
                <a:solidFill>
                  <a:srgbClr val="C2C4C6"/>
                </a:solidFill>
              </a:ln>
            </c:spPr>
            <c:extLst>
              <c:ext xmlns:c16="http://schemas.microsoft.com/office/drawing/2014/chart" uri="{C3380CC4-5D6E-409C-BE32-E72D297353CC}">
                <c16:uniqueId val="{00000005-6F08-487A-9C7A-02880EE3903F}"/>
              </c:ext>
            </c:extLst>
          </c:dPt>
          <c:dPt>
            <c:idx val="6"/>
            <c:bubble3D val="0"/>
            <c:spPr>
              <a:solidFill>
                <a:srgbClr val="008269"/>
              </a:solidFill>
              <a:ln>
                <a:solidFill>
                  <a:srgbClr val="00B796"/>
                </a:solidFill>
              </a:ln>
            </c:spPr>
            <c:extLst>
              <c:ext xmlns:c16="http://schemas.microsoft.com/office/drawing/2014/chart" uri="{C3380CC4-5D6E-409C-BE32-E72D297353CC}">
                <c16:uniqueId val="{00000006-6F08-487A-9C7A-02880EE3903F}"/>
              </c:ext>
            </c:extLst>
          </c:dPt>
          <c:dPt>
            <c:idx val="7"/>
            <c:bubble3D val="0"/>
            <c:spPr>
              <a:solidFill>
                <a:srgbClr val="B7312C"/>
              </a:solidFill>
              <a:ln>
                <a:solidFill>
                  <a:srgbClr val="D50032"/>
                </a:solidFill>
              </a:ln>
            </c:spPr>
            <c:extLst>
              <c:ext xmlns:c16="http://schemas.microsoft.com/office/drawing/2014/chart" uri="{C3380CC4-5D6E-409C-BE32-E72D297353CC}">
                <c16:uniqueId val="{00000007-6F08-487A-9C7A-02880EE3903F}"/>
              </c:ext>
            </c:extLst>
          </c:dPt>
          <c:dPt>
            <c:idx val="8"/>
            <c:bubble3D val="0"/>
            <c:spPr>
              <a:solidFill>
                <a:srgbClr val="005587"/>
              </a:solidFill>
              <a:ln>
                <a:solidFill>
                  <a:srgbClr val="12284C"/>
                </a:solidFill>
              </a:ln>
            </c:spPr>
            <c:extLst>
              <c:ext xmlns:c16="http://schemas.microsoft.com/office/drawing/2014/chart" uri="{C3380CC4-5D6E-409C-BE32-E72D297353CC}">
                <c16:uniqueId val="{0000000E-6CF0-484D-9AFC-2C5FE0CAB48D}"/>
              </c:ext>
            </c:extLst>
          </c:dPt>
          <c:dPt>
            <c:idx val="9"/>
            <c:bubble3D val="0"/>
            <c:spPr>
              <a:solidFill>
                <a:srgbClr val="C2C4C6"/>
              </a:solidFill>
              <a:ln>
                <a:solidFill>
                  <a:srgbClr val="53565A"/>
                </a:solidFill>
              </a:ln>
            </c:spPr>
            <c:extLst>
              <c:ext xmlns:c16="http://schemas.microsoft.com/office/drawing/2014/chart" uri="{C3380CC4-5D6E-409C-BE32-E72D297353CC}">
                <c16:uniqueId val="{00000012-A327-4503-9607-4AB1FB504017}"/>
              </c:ext>
            </c:extLst>
          </c:dPt>
          <c:dPt>
            <c:idx val="10"/>
            <c:bubble3D val="0"/>
            <c:spPr>
              <a:solidFill>
                <a:srgbClr val="9FFFED"/>
              </a:solidFill>
              <a:ln>
                <a:solidFill>
                  <a:srgbClr val="00B796"/>
                </a:solidFill>
              </a:ln>
            </c:spPr>
            <c:extLst>
              <c:ext xmlns:c16="http://schemas.microsoft.com/office/drawing/2014/chart" uri="{C3380CC4-5D6E-409C-BE32-E72D297353CC}">
                <c16:uniqueId val="{00000027-B5E0-4308-B498-E4E34FEF13DC}"/>
              </c:ext>
            </c:extLst>
          </c:dPt>
          <c:dPt>
            <c:idx val="11"/>
            <c:bubble3D val="0"/>
            <c:spPr>
              <a:solidFill>
                <a:srgbClr val="F7DEDD"/>
              </a:solidFill>
              <a:ln>
                <a:solidFill>
                  <a:srgbClr val="D50032"/>
                </a:solidFill>
              </a:ln>
            </c:spPr>
            <c:extLst>
              <c:ext xmlns:c16="http://schemas.microsoft.com/office/drawing/2014/chart" uri="{C3380CC4-5D6E-409C-BE32-E72D297353CC}">
                <c16:uniqueId val="{00000028-B5E0-4308-B498-E4E34FEF13DC}"/>
              </c:ext>
            </c:extLst>
          </c:dPt>
          <c:dPt>
            <c:idx val="12"/>
            <c:bubble3D val="0"/>
            <c:spPr>
              <a:solidFill>
                <a:srgbClr val="383A3C"/>
              </a:solidFill>
              <a:ln>
                <a:solidFill>
                  <a:srgbClr val="53565A"/>
                </a:solidFill>
              </a:ln>
            </c:spPr>
            <c:extLst>
              <c:ext xmlns:c16="http://schemas.microsoft.com/office/drawing/2014/chart" uri="{C3380CC4-5D6E-409C-BE32-E72D297353CC}">
                <c16:uniqueId val="{00000029-B5E0-4308-B498-E4E34FEF13DC}"/>
              </c:ext>
            </c:extLst>
          </c:dPt>
          <c:dPt>
            <c:idx val="13"/>
            <c:bubble3D val="0"/>
            <c:spPr>
              <a:solidFill>
                <a:srgbClr val="383A3C"/>
              </a:solidFill>
              <a:ln>
                <a:solidFill>
                  <a:srgbClr val="53565A"/>
                </a:solidFill>
              </a:ln>
            </c:spPr>
            <c:extLst>
              <c:ext xmlns:c16="http://schemas.microsoft.com/office/drawing/2014/chart" uri="{C3380CC4-5D6E-409C-BE32-E72D297353CC}">
                <c16:uniqueId val="{0000002A-B5E0-4308-B498-E4E34FEF13DC}"/>
              </c:ext>
            </c:extLst>
          </c:dPt>
          <c:dLbls>
            <c:dLbl>
              <c:idx val="0"/>
              <c:layout>
                <c:manualLayout>
                  <c:x val="6.2792251169004679E-2"/>
                  <c:y val="-3.7938306935839453E-2"/>
                </c:manualLayout>
              </c:layout>
              <c:tx>
                <c:rich>
                  <a:bodyPr/>
                  <a:lstStyle/>
                  <a:p>
                    <a:fld id="{15595EBA-894E-41A7-9586-25BF9AF0B67C}" type="CELLRANGE">
                      <a:rPr lang="en-US" baseline="0"/>
                      <a:pPr/>
                      <a:t>[CELLRANGE]</a:t>
                    </a:fld>
                    <a:r>
                      <a:rPr lang="en-US" baseline="0"/>
                      <a:t>
</a:t>
                    </a:r>
                    <a:fld id="{D476D993-D86C-4100-8AEF-4F7C1546CCC0}" type="VALUE">
                      <a:rPr lang="en-US" baseline="0"/>
                      <a:pPr/>
                      <a:t>[VALUE]</a:t>
                    </a:fld>
                    <a:endParaRPr lang="en-US" baseline="0"/>
                  </a:p>
                </c:rich>
              </c:tx>
              <c:dLblPos val="bestFit"/>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1-6F08-487A-9C7A-02880EE3903F}"/>
                </c:ext>
              </c:extLst>
            </c:dLbl>
            <c:dLbl>
              <c:idx val="1"/>
              <c:layout>
                <c:manualLayout>
                  <c:x val="9.5823405340865461E-2"/>
                  <c:y val="2.2292489410134002E-2"/>
                </c:manualLayout>
              </c:layout>
              <c:tx>
                <c:rich>
                  <a:bodyPr wrap="square" lIns="38100" tIns="19050" rIns="38100" bIns="19050" anchor="ctr">
                    <a:noAutofit/>
                  </a:bodyPr>
                  <a:lstStyle/>
                  <a:p>
                    <a:pPr>
                      <a:defRPr sz="900">
                        <a:solidFill>
                          <a:sysClr val="windowText" lastClr="000000"/>
                        </a:solidFill>
                        <a:latin typeface="Arial" panose="020B0604020202020204" pitchFamily="34" charset="0"/>
                        <a:ea typeface="Open Sans Light" panose="020B0306030504020204" pitchFamily="34" charset="0"/>
                        <a:cs typeface="Arial" panose="020B0604020202020204" pitchFamily="34" charset="0"/>
                      </a:defRPr>
                    </a:pPr>
                    <a:endParaRPr lang="en-US" baseline="0"/>
                  </a:p>
                </c:rich>
              </c:tx>
              <c:spPr>
                <a:noFill/>
                <a:ln>
                  <a:noFill/>
                </a:ln>
                <a:effectLst/>
              </c:spPr>
              <c:dLblPos val="bestFit"/>
              <c:showLegendKey val="0"/>
              <c:showVal val="1"/>
              <c:showCatName val="0"/>
              <c:showSerName val="0"/>
              <c:showPercent val="0"/>
              <c:showBubbleSize val="0"/>
              <c:separator>
</c:separator>
              <c:extLst>
                <c:ext xmlns:c15="http://schemas.microsoft.com/office/drawing/2012/chart" uri="{CE6537A1-D6FC-4f65-9D91-7224C49458BB}">
                  <c15:spPr xmlns:c15="http://schemas.microsoft.com/office/drawing/2012/chart">
                    <a:prstGeom prst="rect">
                      <a:avLst/>
                    </a:prstGeom>
                  </c15:spPr>
                  <c15:layout>
                    <c:manualLayout>
                      <c:w val="0.16299938459596358"/>
                      <c:h val="0.13213085828200208"/>
                    </c:manualLayout>
                  </c15:layout>
                  <c15:showDataLabelsRange val="0"/>
                </c:ext>
                <c:ext xmlns:c16="http://schemas.microsoft.com/office/drawing/2014/chart" uri="{C3380CC4-5D6E-409C-BE32-E72D297353CC}">
                  <c16:uniqueId val="{00000002-6F08-487A-9C7A-02880EE3903F}"/>
                </c:ext>
              </c:extLst>
            </c:dLbl>
            <c:dLbl>
              <c:idx val="2"/>
              <c:layout>
                <c:manualLayout>
                  <c:x val="1.2887296903518322E-2"/>
                  <c:y val="4.3760160861076758E-2"/>
                </c:manualLayout>
              </c:layout>
              <c:tx>
                <c:rich>
                  <a:bodyPr/>
                  <a:lstStyle/>
                  <a:p>
                    <a:endParaRPr lang="en-US" baseline="0"/>
                  </a:p>
                </c:rich>
              </c:tx>
              <c:dLblPos val="bestFit"/>
              <c:showLegendKey val="0"/>
              <c:showVal val="1"/>
              <c:showCatName val="0"/>
              <c:showSerName val="0"/>
              <c:showPercent val="0"/>
              <c:showBubbleSize val="0"/>
              <c:separator>
</c:separator>
              <c:extLst>
                <c:ext xmlns:c15="http://schemas.microsoft.com/office/drawing/2012/chart" uri="{CE6537A1-D6FC-4f65-9D91-7224C49458BB}">
                  <c15:showDataLabelsRange val="0"/>
                </c:ext>
                <c:ext xmlns:c16="http://schemas.microsoft.com/office/drawing/2014/chart" uri="{C3380CC4-5D6E-409C-BE32-E72D297353CC}">
                  <c16:uniqueId val="{00000003-6F08-487A-9C7A-02880EE3903F}"/>
                </c:ext>
              </c:extLst>
            </c:dLbl>
            <c:dLbl>
              <c:idx val="3"/>
              <c:layout>
                <c:manualLayout>
                  <c:x val="6.0120240480961923E-3"/>
                  <c:y val="9.7152602275767351E-3"/>
                </c:manualLayout>
              </c:layout>
              <c:tx>
                <c:rich>
                  <a:bodyPr wrap="square" lIns="38100" tIns="19050" rIns="38100" bIns="19050" anchor="ctr">
                    <a:noAutofit/>
                  </a:bodyPr>
                  <a:lstStyle/>
                  <a:p>
                    <a:pPr>
                      <a:defRPr sz="900">
                        <a:solidFill>
                          <a:sysClr val="windowText" lastClr="000000"/>
                        </a:solidFill>
                        <a:latin typeface="Arial" panose="020B0604020202020204" pitchFamily="34" charset="0"/>
                        <a:ea typeface="Open Sans Light" panose="020B0306030504020204" pitchFamily="34" charset="0"/>
                        <a:cs typeface="Arial" panose="020B0604020202020204" pitchFamily="34" charset="0"/>
                      </a:defRPr>
                    </a:pPr>
                    <a:endParaRPr lang="en-US" baseline="0">
                      <a:solidFill>
                        <a:sysClr val="windowText" lastClr="000000"/>
                      </a:solidFill>
                    </a:endParaRPr>
                  </a:p>
                </c:rich>
              </c:tx>
              <c:spPr>
                <a:noFill/>
                <a:ln>
                  <a:noFill/>
                </a:ln>
                <a:effectLst/>
              </c:spPr>
              <c:dLblPos val="bestFit"/>
              <c:showLegendKey val="0"/>
              <c:showVal val="1"/>
              <c:showCatName val="0"/>
              <c:showSerName val="0"/>
              <c:showPercent val="0"/>
              <c:showBubbleSize val="0"/>
              <c:separator>
</c:separator>
              <c:extLst>
                <c:ext xmlns:c15="http://schemas.microsoft.com/office/drawing/2012/chart" uri="{CE6537A1-D6FC-4f65-9D91-7224C49458BB}">
                  <c15:layout>
                    <c:manualLayout>
                      <c:w val="9.0848363393453577E-2"/>
                      <c:h val="0.1043303440735585"/>
                    </c:manualLayout>
                  </c15:layout>
                  <c15:showDataLabelsRange val="0"/>
                </c:ext>
                <c:ext xmlns:c16="http://schemas.microsoft.com/office/drawing/2014/chart" uri="{C3380CC4-5D6E-409C-BE32-E72D297353CC}">
                  <c16:uniqueId val="{00000000-6F08-487A-9C7A-02880EE3903F}"/>
                </c:ext>
              </c:extLst>
            </c:dLbl>
            <c:dLbl>
              <c:idx val="4"/>
              <c:layout>
                <c:manualLayout>
                  <c:x val="3.3477032805769018E-2"/>
                  <c:y val="3.1687282136866009E-2"/>
                </c:manualLayout>
              </c:layout>
              <c:tx>
                <c:rich>
                  <a:bodyPr/>
                  <a:lstStyle/>
                  <a:p>
                    <a:endParaRPr lang="en-US" baseline="0"/>
                  </a:p>
                </c:rich>
              </c:tx>
              <c:dLblPos val="bestFit"/>
              <c:showLegendKey val="0"/>
              <c:showVal val="1"/>
              <c:showCatName val="0"/>
              <c:showSerName val="0"/>
              <c:showPercent val="0"/>
              <c:showBubbleSize val="0"/>
              <c:separator>
</c:separator>
              <c:extLst>
                <c:ext xmlns:c15="http://schemas.microsoft.com/office/drawing/2012/chart" uri="{CE6537A1-D6FC-4f65-9D91-7224C49458BB}">
                  <c15:showDataLabelsRange val="0"/>
                </c:ext>
                <c:ext xmlns:c16="http://schemas.microsoft.com/office/drawing/2014/chart" uri="{C3380CC4-5D6E-409C-BE32-E72D297353CC}">
                  <c16:uniqueId val="{00000004-6F08-487A-9C7A-02880EE3903F}"/>
                </c:ext>
              </c:extLst>
            </c:dLbl>
            <c:dLbl>
              <c:idx val="5"/>
              <c:layout>
                <c:manualLayout>
                  <c:x val="-0.16303767640267411"/>
                  <c:y val="5.6979486760758827E-2"/>
                </c:manualLayout>
              </c:layout>
              <c:tx>
                <c:rich>
                  <a:bodyPr/>
                  <a:lstStyle/>
                  <a:p>
                    <a:endParaRPr lang="en-US" baseline="0"/>
                  </a:p>
                </c:rich>
              </c:tx>
              <c:dLblPos val="bestFit"/>
              <c:showLegendKey val="0"/>
              <c:showVal val="1"/>
              <c:showCatName val="0"/>
              <c:showSerName val="0"/>
              <c:showPercent val="0"/>
              <c:showBubbleSize val="0"/>
              <c:separator>
</c:separator>
              <c:extLst>
                <c:ext xmlns:c15="http://schemas.microsoft.com/office/drawing/2012/chart" uri="{CE6537A1-D6FC-4f65-9D91-7224C49458BB}">
                  <c15:showDataLabelsRange val="0"/>
                </c:ext>
                <c:ext xmlns:c16="http://schemas.microsoft.com/office/drawing/2014/chart" uri="{C3380CC4-5D6E-409C-BE32-E72D297353CC}">
                  <c16:uniqueId val="{00000005-6F08-487A-9C7A-02880EE3903F}"/>
                </c:ext>
              </c:extLst>
            </c:dLbl>
            <c:dLbl>
              <c:idx val="6"/>
              <c:layout>
                <c:manualLayout>
                  <c:x val="3.049353299775355E-3"/>
                  <c:y val="2.0868392245582661E-2"/>
                </c:manualLayout>
              </c:layout>
              <c:tx>
                <c:rich>
                  <a:bodyPr/>
                  <a:lstStyle/>
                  <a:p>
                    <a:endParaRPr lang="en-US" baseline="0"/>
                  </a:p>
                </c:rich>
              </c:tx>
              <c:dLblPos val="bestFit"/>
              <c:showLegendKey val="0"/>
              <c:showVal val="1"/>
              <c:showCatName val="0"/>
              <c:showSerName val="0"/>
              <c:showPercent val="0"/>
              <c:showBubbleSize val="0"/>
              <c:separator>
</c:separator>
              <c:extLst>
                <c:ext xmlns:c15="http://schemas.microsoft.com/office/drawing/2012/chart" uri="{CE6537A1-D6FC-4f65-9D91-7224C49458BB}">
                  <c15:showDataLabelsRange val="0"/>
                </c:ext>
                <c:ext xmlns:c16="http://schemas.microsoft.com/office/drawing/2014/chart" uri="{C3380CC4-5D6E-409C-BE32-E72D297353CC}">
                  <c16:uniqueId val="{00000006-6F08-487A-9C7A-02880EE3903F}"/>
                </c:ext>
              </c:extLst>
            </c:dLbl>
            <c:dLbl>
              <c:idx val="7"/>
              <c:layout>
                <c:manualLayout>
                  <c:x val="-1.3553090432834173E-3"/>
                  <c:y val="3.1687282136866009E-2"/>
                </c:manualLayout>
              </c:layout>
              <c:tx>
                <c:rich>
                  <a:bodyPr/>
                  <a:lstStyle/>
                  <a:p>
                    <a:endParaRPr lang="en-US" baseline="0"/>
                  </a:p>
                </c:rich>
              </c:tx>
              <c:dLblPos val="bestFit"/>
              <c:showLegendKey val="0"/>
              <c:showVal val="1"/>
              <c:showCatName val="0"/>
              <c:showSerName val="0"/>
              <c:showPercent val="0"/>
              <c:showBubbleSize val="0"/>
              <c:separator>
</c:separator>
              <c:extLst>
                <c:ext xmlns:c15="http://schemas.microsoft.com/office/drawing/2012/chart" uri="{CE6537A1-D6FC-4f65-9D91-7224C49458BB}">
                  <c15:showDataLabelsRange val="0"/>
                </c:ext>
                <c:ext xmlns:c16="http://schemas.microsoft.com/office/drawing/2014/chart" uri="{C3380CC4-5D6E-409C-BE32-E72D297353CC}">
                  <c16:uniqueId val="{00000007-6F08-487A-9C7A-02880EE3903F}"/>
                </c:ext>
              </c:extLst>
            </c:dLbl>
            <c:dLbl>
              <c:idx val="8"/>
              <c:layout>
                <c:manualLayout>
                  <c:x val="5.477043325496137E-3"/>
                  <c:y val="2.0955354943895707E-2"/>
                </c:manualLayout>
              </c:layout>
              <c:tx>
                <c:rich>
                  <a:bodyPr wrap="square" lIns="38100" tIns="19050" rIns="38100" bIns="19050" anchor="ctr">
                    <a:noAutofit/>
                  </a:bodyPr>
                  <a:lstStyle/>
                  <a:p>
                    <a:pPr>
                      <a:defRPr sz="900">
                        <a:solidFill>
                          <a:sysClr val="windowText" lastClr="000000"/>
                        </a:solidFill>
                        <a:latin typeface="Arial" panose="020B0604020202020204" pitchFamily="34" charset="0"/>
                        <a:ea typeface="Open Sans Light" panose="020B0306030504020204" pitchFamily="34" charset="0"/>
                        <a:cs typeface="Arial" panose="020B0604020202020204" pitchFamily="34" charset="0"/>
                      </a:defRPr>
                    </a:pPr>
                    <a:endParaRPr lang="en-US" baseline="0"/>
                  </a:p>
                </c:rich>
              </c:tx>
              <c:spPr>
                <a:noFill/>
                <a:ln>
                  <a:noFill/>
                </a:ln>
                <a:effectLst/>
              </c:spPr>
              <c:dLblPos val="bestFit"/>
              <c:showLegendKey val="0"/>
              <c:showVal val="1"/>
              <c:showCatName val="0"/>
              <c:showSerName val="0"/>
              <c:showPercent val="0"/>
              <c:showBubbleSize val="0"/>
              <c:separator>
</c:separator>
              <c:extLst>
                <c:ext xmlns:c15="http://schemas.microsoft.com/office/drawing/2012/chart" uri="{CE6537A1-D6FC-4f65-9D91-7224C49458BB}">
                  <c15:layout>
                    <c:manualLayout>
                      <c:w val="0.13360726702749329"/>
                      <c:h val="0.11526938853274013"/>
                    </c:manualLayout>
                  </c15:layout>
                  <c15:showDataLabelsRange val="0"/>
                </c:ext>
                <c:ext xmlns:c16="http://schemas.microsoft.com/office/drawing/2014/chart" uri="{C3380CC4-5D6E-409C-BE32-E72D297353CC}">
                  <c16:uniqueId val="{0000000E-6CF0-484D-9AFC-2C5FE0CAB48D}"/>
                </c:ext>
              </c:extLst>
            </c:dLbl>
            <c:dLbl>
              <c:idx val="9"/>
              <c:layout>
                <c:manualLayout>
                  <c:x val="-0.10199054276532067"/>
                  <c:y val="-3.3561295093644222E-2"/>
                </c:manualLayout>
              </c:layout>
              <c:tx>
                <c:rich>
                  <a:bodyPr wrap="square" lIns="38100" tIns="19050" rIns="38100" bIns="19050" anchor="ctr">
                    <a:noAutofit/>
                  </a:bodyPr>
                  <a:lstStyle/>
                  <a:p>
                    <a:pPr>
                      <a:defRPr sz="900">
                        <a:solidFill>
                          <a:sysClr val="windowText" lastClr="000000"/>
                        </a:solidFill>
                        <a:latin typeface="Arial" panose="020B0604020202020204" pitchFamily="34" charset="0"/>
                        <a:ea typeface="Open Sans Light" panose="020B0306030504020204" pitchFamily="34" charset="0"/>
                        <a:cs typeface="Arial" panose="020B0604020202020204" pitchFamily="34" charset="0"/>
                      </a:defRPr>
                    </a:pPr>
                    <a:endParaRPr lang="en-US" baseline="0"/>
                  </a:p>
                </c:rich>
              </c:tx>
              <c:spPr>
                <a:noFill/>
                <a:ln>
                  <a:noFill/>
                </a:ln>
                <a:effectLst/>
              </c:spPr>
              <c:dLblPos val="bestFit"/>
              <c:showLegendKey val="0"/>
              <c:showVal val="1"/>
              <c:showCatName val="0"/>
              <c:showSerName val="0"/>
              <c:showPercent val="0"/>
              <c:showBubbleSize val="0"/>
              <c:separator>
</c:separator>
              <c:extLst>
                <c:ext xmlns:c15="http://schemas.microsoft.com/office/drawing/2012/chart" uri="{CE6537A1-D6FC-4f65-9D91-7224C49458BB}">
                  <c15:spPr xmlns:c15="http://schemas.microsoft.com/office/drawing/2012/chart">
                    <a:prstGeom prst="rect">
                      <a:avLst/>
                    </a:prstGeom>
                  </c15:spPr>
                  <c15:showDataLabelsRange val="0"/>
                </c:ext>
                <c:ext xmlns:c16="http://schemas.microsoft.com/office/drawing/2014/chart" uri="{C3380CC4-5D6E-409C-BE32-E72D297353CC}">
                  <c16:uniqueId val="{00000012-A327-4503-9607-4AB1FB504017}"/>
                </c:ext>
              </c:extLst>
            </c:dLbl>
            <c:dLbl>
              <c:idx val="10"/>
              <c:layout>
                <c:manualLayout>
                  <c:x val="-0.10686243878833786"/>
                  <c:y val="-8.9959592217967024E-2"/>
                </c:manualLayout>
              </c:layout>
              <c:tx>
                <c:rich>
                  <a:bodyPr/>
                  <a:lstStyle/>
                  <a:p>
                    <a:endParaRPr lang="en-US" baseline="0"/>
                  </a:p>
                </c:rich>
              </c:tx>
              <c:dLblPos val="bestFit"/>
              <c:showLegendKey val="0"/>
              <c:showVal val="1"/>
              <c:showCatName val="0"/>
              <c:showSerName val="0"/>
              <c:showPercent val="0"/>
              <c:showBubbleSize val="0"/>
              <c:separator>
</c:separator>
              <c:extLst>
                <c:ext xmlns:c15="http://schemas.microsoft.com/office/drawing/2012/chart" uri="{CE6537A1-D6FC-4f65-9D91-7224C49458BB}">
                  <c15:showDataLabelsRange val="0"/>
                </c:ext>
                <c:ext xmlns:c16="http://schemas.microsoft.com/office/drawing/2014/chart" uri="{C3380CC4-5D6E-409C-BE32-E72D297353CC}">
                  <c16:uniqueId val="{00000027-B5E0-4308-B498-E4E34FEF13DC}"/>
                </c:ext>
              </c:extLst>
            </c:dLbl>
            <c:dLbl>
              <c:idx val="11"/>
              <c:layout>
                <c:manualLayout>
                  <c:x val="-2.4807304898510931E-2"/>
                  <c:y val="-8.5468732263094691E-2"/>
                </c:manualLayout>
              </c:layout>
              <c:tx>
                <c:rich>
                  <a:bodyPr/>
                  <a:lstStyle/>
                  <a:p>
                    <a:endParaRPr lang="en-US" baseline="0"/>
                  </a:p>
                </c:rich>
              </c:tx>
              <c:dLblPos val="bestFit"/>
              <c:showLegendKey val="0"/>
              <c:showVal val="1"/>
              <c:showCatName val="0"/>
              <c:showSerName val="0"/>
              <c:showPercent val="0"/>
              <c:showBubbleSize val="0"/>
              <c:separator>
</c:separator>
              <c:extLst>
                <c:ext xmlns:c15="http://schemas.microsoft.com/office/drawing/2012/chart" uri="{CE6537A1-D6FC-4f65-9D91-7224C49458BB}">
                  <c15:showDataLabelsRange val="0"/>
                </c:ext>
                <c:ext xmlns:c16="http://schemas.microsoft.com/office/drawing/2014/chart" uri="{C3380CC4-5D6E-409C-BE32-E72D297353CC}">
                  <c16:uniqueId val="{00000028-B5E0-4308-B498-E4E34FEF13DC}"/>
                </c:ext>
              </c:extLst>
            </c:dLbl>
            <c:dLbl>
              <c:idx val="12"/>
              <c:layout>
                <c:manualLayout>
                  <c:x val="5.7486837191443256E-2"/>
                  <c:y val="-0.10881821676016819"/>
                </c:manualLayout>
              </c:layout>
              <c:tx>
                <c:rich>
                  <a:bodyPr/>
                  <a:lstStyle/>
                  <a:p>
                    <a:endParaRPr lang="en-US" baseline="0"/>
                  </a:p>
                </c:rich>
              </c:tx>
              <c:dLblPos val="bestFit"/>
              <c:showLegendKey val="0"/>
              <c:showVal val="1"/>
              <c:showCatName val="0"/>
              <c:showSerName val="0"/>
              <c:showPercent val="0"/>
              <c:showBubbleSize val="0"/>
              <c:separator>
</c:separator>
              <c:extLst>
                <c:ext xmlns:c15="http://schemas.microsoft.com/office/drawing/2012/chart" uri="{CE6537A1-D6FC-4f65-9D91-7224C49458BB}">
                  <c15:showDataLabelsRange val="0"/>
                </c:ext>
                <c:ext xmlns:c16="http://schemas.microsoft.com/office/drawing/2014/chart" uri="{C3380CC4-5D6E-409C-BE32-E72D297353CC}">
                  <c16:uniqueId val="{00000029-B5E0-4308-B498-E4E34FEF13DC}"/>
                </c:ext>
              </c:extLst>
            </c:dLbl>
            <c:dLbl>
              <c:idx val="13"/>
              <c:layout>
                <c:manualLayout>
                  <c:x val="0.11740594048990369"/>
                  <c:y val="-7.7324443222983638E-2"/>
                </c:manualLayout>
              </c:layout>
              <c:dLblPos val="bestFit"/>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2A-B5E0-4308-B498-E4E34FEF13DC}"/>
                </c:ext>
              </c:extLst>
            </c:dLbl>
            <c:spPr>
              <a:noFill/>
              <a:ln>
                <a:noFill/>
              </a:ln>
              <a:effectLst/>
            </c:spPr>
            <c:txPr>
              <a:bodyPr wrap="square" lIns="38100" tIns="19050" rIns="38100" bIns="19050" anchor="ctr">
                <a:spAutoFit/>
              </a:bodyPr>
              <a:lstStyle/>
              <a:p>
                <a:pPr>
                  <a:defRPr sz="900">
                    <a:solidFill>
                      <a:sysClr val="windowText" lastClr="000000"/>
                    </a:solidFill>
                    <a:latin typeface="Arial" panose="020B0604020202020204" pitchFamily="34" charset="0"/>
                    <a:ea typeface="Open Sans Light" panose="020B0306030504020204" pitchFamily="34" charset="0"/>
                    <a:cs typeface="Arial" panose="020B0604020202020204" pitchFamily="34" charset="0"/>
                  </a:defRPr>
                </a:pPr>
                <a:endParaRPr lang="en-US"/>
              </a:p>
            </c:txPr>
            <c:dLblPos val="bestFit"/>
            <c:showLegendKey val="0"/>
            <c:showVal val="1"/>
            <c:showCatName val="0"/>
            <c:showSerName val="0"/>
            <c:showPercent val="0"/>
            <c:showBubbleSize val="0"/>
            <c:separator>
</c:separator>
            <c:showLeaderLines val="1"/>
            <c:extLst>
              <c:ext xmlns:c15="http://schemas.microsoft.com/office/drawing/2012/chart" uri="{CE6537A1-D6FC-4f65-9D91-7224C49458BB}">
                <c15:showDataLabelsRange val="1"/>
              </c:ext>
            </c:extLst>
          </c:dLbls>
          <c:cat>
            <c:strRef>
              <c:f>(SUMEXPEN!$O$1418:$O$1421,SUMEXPEN!$O$1423:$O$1431)</c:f>
              <c:strCache>
                <c:ptCount val="13"/>
                <c:pt idx="0">
                  <c:v>General: 33%</c:v>
                </c:pt>
                <c:pt idx="1">
                  <c:v>Supplemental General: 39%</c:v>
                </c:pt>
                <c:pt idx="2">
                  <c:v>Adult Education: 0%</c:v>
                </c:pt>
                <c:pt idx="3">
                  <c:v>Capital Outlay: 13%</c:v>
                </c:pt>
                <c:pt idx="4">
                  <c:v>Cost of Living: 0%</c:v>
                </c:pt>
                <c:pt idx="5">
                  <c:v>Special Liability : 0%</c:v>
                </c:pt>
                <c:pt idx="6">
                  <c:v>School Retirement: 0%</c:v>
                </c:pt>
                <c:pt idx="7">
                  <c:v>Extraordinary Growth Facilities: 0%</c:v>
                </c:pt>
                <c:pt idx="8">
                  <c:v>Bond and Interest #1: 14%</c:v>
                </c:pt>
                <c:pt idx="9">
                  <c:v>Bond and Interest #2: 0%</c:v>
                </c:pt>
                <c:pt idx="10">
                  <c:v>No Fund Warrant: 0%</c:v>
                </c:pt>
                <c:pt idx="11">
                  <c:v>Special Assessment: 0%</c:v>
                </c:pt>
                <c:pt idx="12">
                  <c:v>Temporary Note: 0%</c:v>
                </c:pt>
              </c:strCache>
            </c:strRef>
          </c:cat>
          <c:val>
            <c:numRef>
              <c:f>(SUMEXPEN!$P$1418:$P$1421,SUMEXPEN!$P$1423:$P$1431)</c:f>
              <c:numCache>
                <c:formatCode>0%</c:formatCode>
                <c:ptCount val="13"/>
                <c:pt idx="0">
                  <c:v>0.33</c:v>
                </c:pt>
                <c:pt idx="1">
                  <c:v>0.39</c:v>
                </c:pt>
                <c:pt idx="2">
                  <c:v>#N/A</c:v>
                </c:pt>
                <c:pt idx="3">
                  <c:v>0.13</c:v>
                </c:pt>
                <c:pt idx="4">
                  <c:v>#N/A</c:v>
                </c:pt>
                <c:pt idx="5">
                  <c:v>#N/A</c:v>
                </c:pt>
                <c:pt idx="6">
                  <c:v>#N/A</c:v>
                </c:pt>
                <c:pt idx="7">
                  <c:v>#N/A</c:v>
                </c:pt>
                <c:pt idx="8">
                  <c:v>0.14000000000000001</c:v>
                </c:pt>
                <c:pt idx="9">
                  <c:v>#N/A</c:v>
                </c:pt>
                <c:pt idx="10">
                  <c:v>#N/A</c:v>
                </c:pt>
                <c:pt idx="11">
                  <c:v>#N/A</c:v>
                </c:pt>
                <c:pt idx="12">
                  <c:v>#N/A</c:v>
                </c:pt>
              </c:numCache>
            </c:numRef>
          </c:val>
          <c:extLst>
            <c:ext xmlns:c15="http://schemas.microsoft.com/office/drawing/2012/chart" uri="{02D57815-91ED-43cb-92C2-25804820EDAC}">
              <c15:datalabelsRange>
                <c15:f>(SUMEXPEN!$Q$1418:$Q$1421,SUMEXPEN!$Q$1423:$Q$1431)</c15:f>
                <c15:dlblRangeCache>
                  <c:ptCount val="13"/>
                  <c:pt idx="0">
                    <c:v>General</c:v>
                  </c:pt>
                  <c:pt idx="1">
                    <c:v>Supplemental General</c:v>
                  </c:pt>
                  <c:pt idx="2">
                    <c:v>Adult Education</c:v>
                  </c:pt>
                  <c:pt idx="3">
                    <c:v>Capital Outlay</c:v>
                  </c:pt>
                  <c:pt idx="4">
                    <c:v>Cost of Living</c:v>
                  </c:pt>
                  <c:pt idx="5">
                    <c:v>Special Liability </c:v>
                  </c:pt>
                  <c:pt idx="6">
                    <c:v>School Retirement</c:v>
                  </c:pt>
                  <c:pt idx="7">
                    <c:v>Extraordinary Growth Facilities</c:v>
                  </c:pt>
                  <c:pt idx="8">
                    <c:v>Bond and Interest #1</c:v>
                  </c:pt>
                  <c:pt idx="9">
                    <c:v>Bond and Interest #2</c:v>
                  </c:pt>
                  <c:pt idx="10">
                    <c:v>No Fund Warrant</c:v>
                  </c:pt>
                  <c:pt idx="11">
                    <c:v>Special Assessment</c:v>
                  </c:pt>
                  <c:pt idx="12">
                    <c:v>Temporary Note</c:v>
                  </c:pt>
                </c15:dlblRangeCache>
              </c15:datalabelsRange>
            </c:ext>
            <c:ext xmlns:c16="http://schemas.microsoft.com/office/drawing/2014/chart" uri="{C3380CC4-5D6E-409C-BE32-E72D297353CC}">
              <c16:uniqueId val="{00000000-5C91-4ED5-A85B-5F66A849B5EA}"/>
            </c:ext>
          </c:extLst>
        </c:ser>
        <c:dLbls>
          <c:showLegendKey val="0"/>
          <c:showVal val="0"/>
          <c:showCatName val="1"/>
          <c:showSerName val="0"/>
          <c:showPercent val="1"/>
          <c:showBubbleSize val="0"/>
          <c:showLeaderLines val="1"/>
        </c:dLbls>
      </c:pie3DChart>
    </c:plotArea>
    <c:legend>
      <c:legendPos val="r"/>
      <c:layout>
        <c:manualLayout>
          <c:xMode val="edge"/>
          <c:yMode val="edge"/>
          <c:x val="0.76452320408723951"/>
          <c:y val="0.14634665001152475"/>
          <c:w val="0.23547679591276036"/>
          <c:h val="0.8536533499884752"/>
        </c:manualLayout>
      </c:layout>
      <c:overlay val="0"/>
      <c:txPr>
        <a:bodyPr/>
        <a:lstStyle/>
        <a:p>
          <a:pPr rtl="0">
            <a:defRPr sz="900" baseline="0">
              <a:latin typeface="Arial" panose="020B0604020202020204" pitchFamily="34" charset="0"/>
              <a:ea typeface="Open Sans Light" panose="020B0306030504020204" pitchFamily="34" charset="0"/>
              <a:cs typeface="Arial" panose="020B0604020202020204" pitchFamily="34" charset="0"/>
            </a:defRPr>
          </a:pPr>
          <a:endParaRPr lang="en-US"/>
        </a:p>
      </c:txPr>
    </c:legend>
    <c:plotVisOnly val="1"/>
    <c:dispBlanksAs val="gap"/>
    <c:showDLblsOverMax val="0"/>
  </c:chart>
  <c:spPr>
    <a:noFill/>
    <a:ln>
      <a:solidFill>
        <a:srgbClr val="53565A"/>
      </a:solidFill>
    </a:ln>
  </c:spPr>
  <c:printSettings>
    <c:headerFooter alignWithMargins="0"/>
    <c:pageMargins b="0.5" l="0.25" r="0.25" t="0.5" header="0.3" footer="0.3"/>
    <c:pageSetup orientation="landscape"/>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34"/>
    </mc:Choice>
    <mc:Fallback>
      <c:style val="34"/>
    </mc:Fallback>
  </mc:AlternateContent>
  <c:clrMapOvr bg1="lt1" tx1="dk1" bg2="lt2" tx2="dk2" accent1="accent1" accent2="accent2" accent3="accent3" accent4="accent4" accent5="accent5" accent6="accent6" hlink="hlink" folHlink="folHlink"/>
  <c:chart>
    <c:title>
      <c:tx>
        <c:rich>
          <a:bodyPr/>
          <a:lstStyle/>
          <a:p>
            <a:pPr algn="ctr" rtl="0">
              <a:defRPr lang="en-US" sz="1400" b="0" i="0" u="none" strike="noStrike" kern="1200" baseline="0">
                <a:solidFill>
                  <a:srgbClr val="D50032"/>
                </a:solidFill>
                <a:latin typeface="Arial" panose="020B0604020202020204" pitchFamily="34" charset="0"/>
                <a:ea typeface="Open Sans Semibold" panose="020B0706030804020204" pitchFamily="34" charset="0"/>
                <a:cs typeface="Arial" panose="020B0604020202020204" pitchFamily="34" charset="0"/>
              </a:defRPr>
            </a:pPr>
            <a:r>
              <a:rPr lang="en-US" sz="1400" b="0" i="0" u="none" strike="noStrike" kern="1200" baseline="0">
                <a:solidFill>
                  <a:srgbClr val="D50032"/>
                </a:solidFill>
                <a:latin typeface="Arial" panose="020B0604020202020204" pitchFamily="34" charset="0"/>
                <a:ea typeface="Open Sans Semibold" panose="020B0706030804020204" pitchFamily="34" charset="0"/>
                <a:cs typeface="Arial" panose="020B0604020202020204" pitchFamily="34" charset="0"/>
              </a:rPr>
              <a:t>Assessed Valuation</a:t>
            </a:r>
          </a:p>
        </c:rich>
      </c:tx>
      <c:layout>
        <c:manualLayout>
          <c:xMode val="edge"/>
          <c:yMode val="edge"/>
          <c:x val="0.40360078779462344"/>
          <c:y val="4.1021240224331866E-2"/>
        </c:manualLayout>
      </c:layout>
      <c:overlay val="0"/>
    </c:title>
    <c:autoTitleDeleted val="0"/>
    <c:view3D>
      <c:rotX val="15"/>
      <c:rotY val="20"/>
      <c:depthPercent val="100"/>
      <c:rAngAx val="1"/>
    </c:view3D>
    <c:floor>
      <c:thickness val="0"/>
      <c:spPr>
        <a:gradFill flip="none" rotWithShape="1">
          <a:gsLst>
            <a:gs pos="0">
              <a:srgbClr val="12284C">
                <a:lumMod val="5000"/>
                <a:lumOff val="95000"/>
              </a:srgbClr>
            </a:gs>
            <a:gs pos="74000">
              <a:srgbClr val="12284C">
                <a:lumMod val="45000"/>
                <a:lumOff val="55000"/>
              </a:srgbClr>
            </a:gs>
            <a:gs pos="83000">
              <a:srgbClr val="12284C">
                <a:lumMod val="45000"/>
                <a:lumOff val="55000"/>
              </a:srgbClr>
            </a:gs>
            <a:gs pos="100000">
              <a:srgbClr val="12284C">
                <a:lumMod val="30000"/>
                <a:lumOff val="70000"/>
              </a:srgbClr>
            </a:gs>
          </a:gsLst>
          <a:path path="circle">
            <a:fillToRect l="100000" t="100000"/>
          </a:path>
          <a:tileRect r="-100000" b="-100000"/>
        </a:gradFill>
        <a:ln>
          <a:solidFill>
            <a:srgbClr val="12284C"/>
          </a:solidFill>
        </a:ln>
      </c:spPr>
    </c:floor>
    <c:sideWall>
      <c:thickness val="0"/>
      <c:spPr>
        <a:gradFill flip="none" rotWithShape="1">
          <a:gsLst>
            <a:gs pos="0">
              <a:srgbClr val="12284C">
                <a:lumMod val="5000"/>
                <a:lumOff val="95000"/>
              </a:srgbClr>
            </a:gs>
            <a:gs pos="74000">
              <a:srgbClr val="12284C">
                <a:lumMod val="45000"/>
                <a:lumOff val="55000"/>
              </a:srgbClr>
            </a:gs>
            <a:gs pos="83000">
              <a:srgbClr val="12284C">
                <a:lumMod val="45000"/>
                <a:lumOff val="55000"/>
              </a:srgbClr>
            </a:gs>
            <a:gs pos="100000">
              <a:srgbClr val="12284C">
                <a:lumMod val="30000"/>
                <a:lumOff val="70000"/>
              </a:srgbClr>
            </a:gs>
          </a:gsLst>
          <a:path path="circle">
            <a:fillToRect l="100000" t="100000"/>
          </a:path>
          <a:tileRect r="-100000" b="-100000"/>
        </a:gradFill>
        <a:ln>
          <a:solidFill>
            <a:srgbClr val="12284C"/>
          </a:solidFill>
        </a:ln>
      </c:spPr>
    </c:sideWall>
    <c:backWall>
      <c:thickness val="0"/>
      <c:spPr>
        <a:gradFill flip="none" rotWithShape="1">
          <a:gsLst>
            <a:gs pos="0">
              <a:srgbClr val="12284C">
                <a:lumMod val="5000"/>
                <a:lumOff val="95000"/>
              </a:srgbClr>
            </a:gs>
            <a:gs pos="74000">
              <a:srgbClr val="12284C">
                <a:lumMod val="45000"/>
                <a:lumOff val="55000"/>
              </a:srgbClr>
            </a:gs>
            <a:gs pos="83000">
              <a:srgbClr val="12284C">
                <a:lumMod val="45000"/>
                <a:lumOff val="55000"/>
              </a:srgbClr>
            </a:gs>
            <a:gs pos="100000">
              <a:srgbClr val="12284C">
                <a:lumMod val="30000"/>
                <a:lumOff val="70000"/>
              </a:srgbClr>
            </a:gs>
          </a:gsLst>
          <a:path path="circle">
            <a:fillToRect l="100000" t="100000"/>
          </a:path>
          <a:tileRect r="-100000" b="-100000"/>
        </a:gradFill>
        <a:ln>
          <a:solidFill>
            <a:srgbClr val="12284C"/>
          </a:solidFill>
        </a:ln>
      </c:spPr>
    </c:backWall>
    <c:plotArea>
      <c:layout>
        <c:manualLayout>
          <c:layoutTarget val="inner"/>
          <c:xMode val="edge"/>
          <c:yMode val="edge"/>
          <c:x val="3.0575644109563874E-2"/>
          <c:y val="0.16386807517302321"/>
          <c:w val="0.96942435589043607"/>
          <c:h val="0.72190394631117549"/>
        </c:manualLayout>
      </c:layout>
      <c:bar3DChart>
        <c:barDir val="col"/>
        <c:grouping val="clustered"/>
        <c:varyColors val="0"/>
        <c:ser>
          <c:idx val="0"/>
          <c:order val="0"/>
          <c:tx>
            <c:strRef>
              <c:f>SUMEXPEN!$O$1445</c:f>
              <c:strCache>
                <c:ptCount val="1"/>
                <c:pt idx="0">
                  <c:v>Assessed Valuation</c:v>
                </c:pt>
              </c:strCache>
            </c:strRef>
          </c:tx>
          <c:spPr>
            <a:solidFill>
              <a:srgbClr val="FFA400"/>
            </a:solidFill>
            <a:ln>
              <a:solidFill>
                <a:srgbClr val="D28700"/>
              </a:solidFill>
            </a:ln>
          </c:spPr>
          <c:invertIfNegative val="0"/>
          <c:dPt>
            <c:idx val="1"/>
            <c:invertIfNegative val="0"/>
            <c:bubble3D val="0"/>
            <c:spPr>
              <a:solidFill>
                <a:srgbClr val="00B796"/>
              </a:solidFill>
              <a:ln>
                <a:solidFill>
                  <a:srgbClr val="008269"/>
                </a:solidFill>
              </a:ln>
            </c:spPr>
            <c:extLst>
              <c:ext xmlns:c16="http://schemas.microsoft.com/office/drawing/2014/chart" uri="{C3380CC4-5D6E-409C-BE32-E72D297353CC}">
                <c16:uniqueId val="{00000003-EA90-4AD3-ABE4-5B34F4836766}"/>
              </c:ext>
            </c:extLst>
          </c:dPt>
          <c:dPt>
            <c:idx val="2"/>
            <c:invertIfNegative val="0"/>
            <c:bubble3D val="0"/>
            <c:spPr>
              <a:solidFill>
                <a:srgbClr val="B7312C"/>
              </a:solidFill>
              <a:ln>
                <a:solidFill>
                  <a:srgbClr val="7F241F"/>
                </a:solidFill>
              </a:ln>
            </c:spPr>
            <c:extLst>
              <c:ext xmlns:c16="http://schemas.microsoft.com/office/drawing/2014/chart" uri="{C3380CC4-5D6E-409C-BE32-E72D297353CC}">
                <c16:uniqueId val="{00000004-EA90-4AD3-ABE4-5B34F4836766}"/>
              </c:ext>
            </c:extLst>
          </c:dPt>
          <c:dPt>
            <c:idx val="3"/>
            <c:invertIfNegative val="0"/>
            <c:bubble3D val="0"/>
            <c:spPr>
              <a:solidFill>
                <a:srgbClr val="005587"/>
              </a:solidFill>
              <a:ln>
                <a:solidFill>
                  <a:srgbClr val="12284C"/>
                </a:solidFill>
              </a:ln>
            </c:spPr>
            <c:extLst>
              <c:ext xmlns:c16="http://schemas.microsoft.com/office/drawing/2014/chart" uri="{C3380CC4-5D6E-409C-BE32-E72D297353CC}">
                <c16:uniqueId val="{00000005-D4E3-40AF-8345-71890A74772B}"/>
              </c:ext>
            </c:extLst>
          </c:dPt>
          <c:dPt>
            <c:idx val="4"/>
            <c:invertIfNegative val="0"/>
            <c:bubble3D val="0"/>
            <c:spPr>
              <a:solidFill>
                <a:srgbClr val="53565A"/>
              </a:solidFill>
              <a:ln>
                <a:solidFill>
                  <a:srgbClr val="383A3C"/>
                </a:solidFill>
              </a:ln>
            </c:spPr>
            <c:extLst>
              <c:ext xmlns:c16="http://schemas.microsoft.com/office/drawing/2014/chart" uri="{C3380CC4-5D6E-409C-BE32-E72D297353CC}">
                <c16:uniqueId val="{00000006-D4E3-40AF-8345-71890A74772B}"/>
              </c:ext>
            </c:extLst>
          </c:dPt>
          <c:dLbls>
            <c:dLbl>
              <c:idx val="0"/>
              <c:layout>
                <c:manualLayout>
                  <c:x val="1.0132073464371864E-2"/>
                  <c:y val="-3.8826413992771473E-2"/>
                </c:manualLayout>
              </c:layout>
              <c:spPr>
                <a:noFill/>
                <a:ln>
                  <a:noFill/>
                </a:ln>
                <a:effectLst/>
              </c:spPr>
              <c:txPr>
                <a:bodyPr vertOverflow="clip" horzOverflow="clip" wrap="square" lIns="38100" tIns="19050" rIns="38100" bIns="19050" anchor="ctr" anchorCtr="0">
                  <a:spAutoFit/>
                </a:bodyPr>
                <a:lstStyle/>
                <a:p>
                  <a:pPr algn="l">
                    <a:defRPr sz="900">
                      <a:latin typeface="Arial" panose="020B0604020202020204" pitchFamily="34" charset="0"/>
                      <a:ea typeface="Open Sans Light" panose="020B0306030504020204" pitchFamily="34" charset="0"/>
                      <a:cs typeface="Arial" panose="020B0604020202020204" pitchFamily="34" charset="0"/>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B89A-43E1-B6B0-9C74BAE5742A}"/>
                </c:ext>
              </c:extLst>
            </c:dLbl>
            <c:dLbl>
              <c:idx val="1"/>
              <c:layout>
                <c:manualLayout>
                  <c:x val="1.5129283485714557E-2"/>
                  <c:y val="-4.8005172389448875E-2"/>
                </c:manualLayout>
              </c:layout>
              <c:spPr>
                <a:noFill/>
                <a:ln>
                  <a:noFill/>
                </a:ln>
                <a:effectLst/>
              </c:spPr>
              <c:txPr>
                <a:bodyPr vertOverflow="clip" horzOverflow="clip" wrap="none" lIns="38100" tIns="19050" rIns="38100" bIns="19050" anchor="ctr" anchorCtr="0">
                  <a:spAutoFit/>
                </a:bodyPr>
                <a:lstStyle/>
                <a:p>
                  <a:pPr algn="l">
                    <a:defRPr sz="900">
                      <a:latin typeface="Arial" panose="020B0604020202020204" pitchFamily="34" charset="0"/>
                      <a:ea typeface="Open Sans Light" panose="020B0306030504020204" pitchFamily="34" charset="0"/>
                      <a:cs typeface="Arial" panose="020B0604020202020204" pitchFamily="34" charset="0"/>
                    </a:defRPr>
                  </a:pPr>
                  <a:endParaRPr lang="en-US"/>
                </a:p>
              </c:txP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3-EA90-4AD3-ABE4-5B34F4836766}"/>
                </c:ext>
              </c:extLst>
            </c:dLbl>
            <c:dLbl>
              <c:idx val="2"/>
              <c:layout>
                <c:manualLayout>
                  <c:x val="1.3026819748704328E-2"/>
                  <c:y val="-1.5037589533600872E-2"/>
                </c:manualLayout>
              </c:layout>
              <c:spPr>
                <a:noFill/>
                <a:ln>
                  <a:noFill/>
                </a:ln>
                <a:effectLst/>
              </c:spPr>
              <c:txPr>
                <a:bodyPr vertOverflow="clip" horzOverflow="clip" wrap="square" lIns="38100" tIns="19050" rIns="38100" bIns="19050" anchor="ctr" anchorCtr="0">
                  <a:spAutoFit/>
                </a:bodyPr>
                <a:lstStyle/>
                <a:p>
                  <a:pPr algn="l">
                    <a:defRPr sz="900">
                      <a:latin typeface="Arial" panose="020B0604020202020204" pitchFamily="34" charset="0"/>
                      <a:ea typeface="Open Sans Light" panose="020B0306030504020204" pitchFamily="34" charset="0"/>
                      <a:cs typeface="Arial" panose="020B0604020202020204" pitchFamily="34" charset="0"/>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EA90-4AD3-ABE4-5B34F4836766}"/>
                </c:ext>
              </c:extLst>
            </c:dLbl>
            <c:dLbl>
              <c:idx val="3"/>
              <c:layout>
                <c:manualLayout>
                  <c:x val="1.1579395332181518E-2"/>
                  <c:y val="-2.631578168380152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D4E3-40AF-8345-71890A74772B}"/>
                </c:ext>
              </c:extLst>
            </c:dLbl>
            <c:dLbl>
              <c:idx val="4"/>
              <c:layout>
                <c:manualLayout>
                  <c:x val="1.158161418747738E-2"/>
                  <c:y val="-2.674156309700396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D4E3-40AF-8345-71890A74772B}"/>
                </c:ext>
              </c:extLst>
            </c:dLbl>
            <c:spPr>
              <a:noFill/>
              <a:ln>
                <a:noFill/>
              </a:ln>
              <a:effectLst/>
            </c:spPr>
            <c:txPr>
              <a:bodyPr wrap="square" lIns="38100" tIns="19050" rIns="38100" bIns="19050" anchor="ctr" anchorCtr="0">
                <a:spAutoFit/>
              </a:bodyPr>
              <a:lstStyle/>
              <a:p>
                <a:pPr algn="l">
                  <a:defRPr sz="900">
                    <a:latin typeface="Arial" panose="020B0604020202020204" pitchFamily="34" charset="0"/>
                    <a:ea typeface="Open Sans Light" panose="020B0306030504020204" pitchFamily="34" charset="0"/>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SUMEXPEN!$P$1444:$R$1444</c:f>
              <c:strCache>
                <c:ptCount val="3"/>
                <c:pt idx="0">
                  <c:v>2023-2024</c:v>
                </c:pt>
                <c:pt idx="1">
                  <c:v>2024-2025</c:v>
                </c:pt>
                <c:pt idx="2">
                  <c:v>2025-2026</c:v>
                </c:pt>
              </c:strCache>
            </c:strRef>
          </c:cat>
          <c:val>
            <c:numRef>
              <c:f>SUMEXPEN!$P$1445:$R$1445</c:f>
              <c:numCache>
                <c:formatCode>"$"#,##0_);\("$"#,##0\)</c:formatCode>
                <c:ptCount val="3"/>
                <c:pt idx="0">
                  <c:v>18536236</c:v>
                </c:pt>
                <c:pt idx="1">
                  <c:v>17978257</c:v>
                </c:pt>
                <c:pt idx="2">
                  <c:v>19995239</c:v>
                </c:pt>
              </c:numCache>
            </c:numRef>
          </c:val>
          <c:shape val="pyramid"/>
          <c:extLst>
            <c:ext xmlns:c16="http://schemas.microsoft.com/office/drawing/2014/chart" uri="{C3380CC4-5D6E-409C-BE32-E72D297353CC}">
              <c16:uniqueId val="{00000000-03ED-42F9-B639-8C83BB0EB494}"/>
            </c:ext>
          </c:extLst>
        </c:ser>
        <c:dLbls>
          <c:showLegendKey val="0"/>
          <c:showVal val="1"/>
          <c:showCatName val="0"/>
          <c:showSerName val="0"/>
          <c:showPercent val="0"/>
          <c:showBubbleSize val="0"/>
        </c:dLbls>
        <c:gapWidth val="150"/>
        <c:shape val="box"/>
        <c:axId val="128185088"/>
        <c:axId val="128186624"/>
        <c:axId val="0"/>
      </c:bar3DChart>
      <c:catAx>
        <c:axId val="128185088"/>
        <c:scaling>
          <c:orientation val="minMax"/>
        </c:scaling>
        <c:delete val="0"/>
        <c:axPos val="b"/>
        <c:numFmt formatCode="General" sourceLinked="1"/>
        <c:majorTickMark val="none"/>
        <c:minorTickMark val="none"/>
        <c:tickLblPos val="nextTo"/>
        <c:spPr>
          <a:noFill/>
        </c:spPr>
        <c:txPr>
          <a:bodyPr rot="0" anchor="t" anchorCtr="0"/>
          <a:lstStyle/>
          <a:p>
            <a:pPr>
              <a:defRPr sz="900" b="0" baseline="0">
                <a:solidFill>
                  <a:sysClr val="windowText" lastClr="000000"/>
                </a:solidFill>
                <a:latin typeface="Arial" panose="020B0604020202020204" pitchFamily="34" charset="0"/>
                <a:ea typeface="Open Sans" panose="020B0606030504020204" pitchFamily="34" charset="0"/>
                <a:cs typeface="Arial" panose="020B0604020202020204" pitchFamily="34" charset="0"/>
              </a:defRPr>
            </a:pPr>
            <a:endParaRPr lang="en-US"/>
          </a:p>
        </c:txPr>
        <c:crossAx val="128186624"/>
        <c:crosses val="autoZero"/>
        <c:auto val="1"/>
        <c:lblAlgn val="ctr"/>
        <c:lblOffset val="100"/>
        <c:noMultiLvlLbl val="0"/>
      </c:catAx>
      <c:valAx>
        <c:axId val="128186624"/>
        <c:scaling>
          <c:orientation val="minMax"/>
        </c:scaling>
        <c:delete val="0"/>
        <c:axPos val="l"/>
        <c:majorGridlines>
          <c:spPr>
            <a:ln>
              <a:solidFill>
                <a:srgbClr val="53565A"/>
              </a:solidFill>
            </a:ln>
          </c:spPr>
        </c:majorGridlines>
        <c:numFmt formatCode="&quot;$&quot;#,##0_);\(&quot;$&quot;#,##0\)" sourceLinked="1"/>
        <c:majorTickMark val="none"/>
        <c:minorTickMark val="none"/>
        <c:tickLblPos val="nextTo"/>
        <c:spPr>
          <a:ln>
            <a:solidFill>
              <a:srgbClr val="53565A"/>
            </a:solidFill>
          </a:ln>
        </c:spPr>
        <c:txPr>
          <a:bodyPr/>
          <a:lstStyle/>
          <a:p>
            <a:pPr>
              <a:defRPr sz="900" baseline="0">
                <a:latin typeface="Arial" panose="020B0604020202020204" pitchFamily="34" charset="0"/>
                <a:ea typeface="Open Sans" panose="020B0606030504020204" pitchFamily="34" charset="0"/>
                <a:cs typeface="Arial" panose="020B0604020202020204" pitchFamily="34" charset="0"/>
              </a:defRPr>
            </a:pPr>
            <a:endParaRPr lang="en-US"/>
          </a:p>
        </c:txPr>
        <c:crossAx val="128185088"/>
        <c:crosses val="autoZero"/>
        <c:crossBetween val="between"/>
      </c:valAx>
      <c:spPr>
        <a:noFill/>
        <a:ln>
          <a:noFill/>
        </a:ln>
      </c:spPr>
    </c:plotArea>
    <c:plotVisOnly val="1"/>
    <c:dispBlanksAs val="gap"/>
    <c:showDLblsOverMax val="0"/>
  </c:chart>
  <c:spPr>
    <a:noFill/>
    <a:ln>
      <a:solidFill>
        <a:srgbClr val="53565A"/>
      </a:solidFill>
    </a:ln>
  </c:spPr>
  <c:printSettings>
    <c:headerFooter/>
    <c:pageMargins b="0.75" l="0.7" r="0.7" t="0.75" header="0.3" footer="0.3"/>
    <c:pageSetup orientation="portrait"/>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34"/>
    </mc:Choice>
    <mc:Fallback>
      <c:style val="34"/>
    </mc:Fallback>
  </mc:AlternateContent>
  <c:clrMapOvr bg1="lt1" tx1="dk1" bg2="lt2" tx2="dk2" accent1="accent1" accent2="accent2" accent3="accent3" accent4="accent4" accent5="accent5" accent6="accent6" hlink="hlink" folHlink="folHlink"/>
  <c:chart>
    <c:title>
      <c:tx>
        <c:rich>
          <a:bodyPr/>
          <a:lstStyle/>
          <a:p>
            <a:pPr algn="ctr" rtl="0">
              <a:defRPr lang="en-US" sz="1400" b="0" i="0" u="none" strike="noStrike" kern="1200" baseline="0">
                <a:solidFill>
                  <a:srgbClr val="D50032"/>
                </a:solidFill>
                <a:latin typeface="Arial" panose="020B0604020202020204" pitchFamily="34" charset="0"/>
                <a:ea typeface="Open Sans Semibold" panose="020B0706030804020204" pitchFamily="34" charset="0"/>
                <a:cs typeface="Arial" panose="020B0604020202020204" pitchFamily="34" charset="0"/>
              </a:defRPr>
            </a:pPr>
            <a:r>
              <a:rPr lang="en-US" sz="1400" b="0" i="0" u="none" strike="noStrike" kern="1200" baseline="0">
                <a:solidFill>
                  <a:srgbClr val="D50032"/>
                </a:solidFill>
                <a:latin typeface="Arial" panose="020B0604020202020204" pitchFamily="34" charset="0"/>
                <a:ea typeface="Open Sans Semibold" panose="020B0706030804020204" pitchFamily="34" charset="0"/>
                <a:cs typeface="Arial" panose="020B0604020202020204" pitchFamily="34" charset="0"/>
              </a:rPr>
              <a:t>Total USD Debt</a:t>
            </a:r>
          </a:p>
        </c:rich>
      </c:tx>
      <c:layout>
        <c:manualLayout>
          <c:xMode val="edge"/>
          <c:yMode val="edge"/>
          <c:x val="0.42677057895910403"/>
          <c:y val="4.3923766881672661E-2"/>
        </c:manualLayout>
      </c:layout>
      <c:overlay val="0"/>
    </c:title>
    <c:autoTitleDeleted val="0"/>
    <c:view3D>
      <c:rotX val="15"/>
      <c:rotY val="20"/>
      <c:depthPercent val="100"/>
      <c:rAngAx val="1"/>
    </c:view3D>
    <c:floor>
      <c:thickness val="0"/>
      <c:spPr>
        <a:gradFill flip="none" rotWithShape="1">
          <a:gsLst>
            <a:gs pos="0">
              <a:srgbClr val="12284C">
                <a:lumMod val="5000"/>
                <a:lumOff val="95000"/>
              </a:srgbClr>
            </a:gs>
            <a:gs pos="74000">
              <a:srgbClr val="12284C">
                <a:lumMod val="45000"/>
                <a:lumOff val="55000"/>
              </a:srgbClr>
            </a:gs>
            <a:gs pos="83000">
              <a:srgbClr val="12284C">
                <a:lumMod val="45000"/>
                <a:lumOff val="55000"/>
              </a:srgbClr>
            </a:gs>
            <a:gs pos="100000">
              <a:srgbClr val="12284C">
                <a:lumMod val="30000"/>
                <a:lumOff val="70000"/>
              </a:srgbClr>
            </a:gs>
          </a:gsLst>
          <a:path path="circle">
            <a:fillToRect l="100000" t="100000"/>
          </a:path>
          <a:tileRect r="-100000" b="-100000"/>
        </a:gradFill>
        <a:ln>
          <a:solidFill>
            <a:srgbClr val="12284C"/>
          </a:solidFill>
        </a:ln>
      </c:spPr>
    </c:floor>
    <c:sideWall>
      <c:thickness val="0"/>
      <c:spPr>
        <a:gradFill flip="none" rotWithShape="1">
          <a:gsLst>
            <a:gs pos="0">
              <a:srgbClr val="12284C">
                <a:lumMod val="5000"/>
                <a:lumOff val="95000"/>
              </a:srgbClr>
            </a:gs>
            <a:gs pos="74000">
              <a:srgbClr val="12284C">
                <a:lumMod val="45000"/>
                <a:lumOff val="55000"/>
              </a:srgbClr>
            </a:gs>
            <a:gs pos="83000">
              <a:srgbClr val="12284C">
                <a:lumMod val="45000"/>
                <a:lumOff val="55000"/>
              </a:srgbClr>
            </a:gs>
            <a:gs pos="100000">
              <a:srgbClr val="12284C">
                <a:lumMod val="30000"/>
                <a:lumOff val="70000"/>
              </a:srgbClr>
            </a:gs>
          </a:gsLst>
          <a:path path="circle">
            <a:fillToRect l="100000" t="100000"/>
          </a:path>
          <a:tileRect r="-100000" b="-100000"/>
        </a:gradFill>
        <a:ln>
          <a:solidFill>
            <a:srgbClr val="12284C"/>
          </a:solidFill>
        </a:ln>
      </c:spPr>
    </c:sideWall>
    <c:backWall>
      <c:thickness val="0"/>
      <c:spPr>
        <a:gradFill flip="none" rotWithShape="1">
          <a:gsLst>
            <a:gs pos="0">
              <a:srgbClr val="12284C">
                <a:lumMod val="5000"/>
                <a:lumOff val="95000"/>
              </a:srgbClr>
            </a:gs>
            <a:gs pos="74000">
              <a:srgbClr val="12284C">
                <a:lumMod val="45000"/>
                <a:lumOff val="55000"/>
              </a:srgbClr>
            </a:gs>
            <a:gs pos="83000">
              <a:srgbClr val="12284C">
                <a:lumMod val="45000"/>
                <a:lumOff val="55000"/>
              </a:srgbClr>
            </a:gs>
            <a:gs pos="100000">
              <a:srgbClr val="12284C">
                <a:lumMod val="30000"/>
                <a:lumOff val="70000"/>
              </a:srgbClr>
            </a:gs>
          </a:gsLst>
          <a:path path="circle">
            <a:fillToRect l="100000" t="100000"/>
          </a:path>
          <a:tileRect r="-100000" b="-100000"/>
        </a:gradFill>
        <a:ln>
          <a:solidFill>
            <a:srgbClr val="12284C"/>
          </a:solidFill>
        </a:ln>
      </c:spPr>
    </c:backWall>
    <c:plotArea>
      <c:layout>
        <c:manualLayout>
          <c:layoutTarget val="inner"/>
          <c:xMode val="edge"/>
          <c:yMode val="edge"/>
          <c:x val="3.0575644109563874E-2"/>
          <c:y val="0.16386807517302321"/>
          <c:w val="0.96942435589043607"/>
          <c:h val="0.72190394631117549"/>
        </c:manualLayout>
      </c:layout>
      <c:bar3DChart>
        <c:barDir val="col"/>
        <c:grouping val="clustered"/>
        <c:varyColors val="0"/>
        <c:ser>
          <c:idx val="0"/>
          <c:order val="0"/>
          <c:tx>
            <c:strRef>
              <c:f>SUMEXPEN!$O$1473</c:f>
              <c:strCache>
                <c:ptCount val="1"/>
                <c:pt idx="0">
                  <c:v>Total USD Debt</c:v>
                </c:pt>
              </c:strCache>
            </c:strRef>
          </c:tx>
          <c:spPr>
            <a:solidFill>
              <a:srgbClr val="FFA400"/>
            </a:solidFill>
            <a:ln>
              <a:solidFill>
                <a:srgbClr val="D28700"/>
              </a:solidFill>
            </a:ln>
          </c:spPr>
          <c:invertIfNegative val="0"/>
          <c:dPt>
            <c:idx val="1"/>
            <c:invertIfNegative val="0"/>
            <c:bubble3D val="0"/>
            <c:spPr>
              <a:solidFill>
                <a:srgbClr val="00B796"/>
              </a:solidFill>
              <a:ln>
                <a:solidFill>
                  <a:srgbClr val="008269"/>
                </a:solidFill>
              </a:ln>
            </c:spPr>
            <c:extLst>
              <c:ext xmlns:c16="http://schemas.microsoft.com/office/drawing/2014/chart" uri="{C3380CC4-5D6E-409C-BE32-E72D297353CC}">
                <c16:uniqueId val="{00000003-EA90-4AD3-ABE4-5B34F4836766}"/>
              </c:ext>
            </c:extLst>
          </c:dPt>
          <c:dPt>
            <c:idx val="2"/>
            <c:invertIfNegative val="0"/>
            <c:bubble3D val="0"/>
            <c:spPr>
              <a:solidFill>
                <a:srgbClr val="B7312C"/>
              </a:solidFill>
              <a:ln>
                <a:solidFill>
                  <a:srgbClr val="7F241F"/>
                </a:solidFill>
              </a:ln>
            </c:spPr>
            <c:extLst>
              <c:ext xmlns:c16="http://schemas.microsoft.com/office/drawing/2014/chart" uri="{C3380CC4-5D6E-409C-BE32-E72D297353CC}">
                <c16:uniqueId val="{00000004-EA90-4AD3-ABE4-5B34F4836766}"/>
              </c:ext>
            </c:extLst>
          </c:dPt>
          <c:dPt>
            <c:idx val="3"/>
            <c:invertIfNegative val="0"/>
            <c:bubble3D val="0"/>
            <c:spPr>
              <a:solidFill>
                <a:srgbClr val="005587"/>
              </a:solidFill>
              <a:ln>
                <a:solidFill>
                  <a:srgbClr val="12284C"/>
                </a:solidFill>
              </a:ln>
            </c:spPr>
            <c:extLst>
              <c:ext xmlns:c16="http://schemas.microsoft.com/office/drawing/2014/chart" uri="{C3380CC4-5D6E-409C-BE32-E72D297353CC}">
                <c16:uniqueId val="{00000005-D4E3-40AF-8345-71890A74772B}"/>
              </c:ext>
            </c:extLst>
          </c:dPt>
          <c:dPt>
            <c:idx val="4"/>
            <c:invertIfNegative val="0"/>
            <c:bubble3D val="0"/>
            <c:spPr>
              <a:solidFill>
                <a:srgbClr val="53565A"/>
              </a:solidFill>
              <a:ln>
                <a:solidFill>
                  <a:srgbClr val="383A3C"/>
                </a:solidFill>
              </a:ln>
            </c:spPr>
            <c:extLst>
              <c:ext xmlns:c16="http://schemas.microsoft.com/office/drawing/2014/chart" uri="{C3380CC4-5D6E-409C-BE32-E72D297353CC}">
                <c16:uniqueId val="{00000006-D4E3-40AF-8345-71890A74772B}"/>
              </c:ext>
            </c:extLst>
          </c:dPt>
          <c:dLbls>
            <c:dLbl>
              <c:idx val="0"/>
              <c:layout>
                <c:manualLayout>
                  <c:x val="1.0132073464371864E-2"/>
                  <c:y val="-3.8826413992771473E-2"/>
                </c:manualLayout>
              </c:layout>
              <c:spPr>
                <a:noFill/>
                <a:ln>
                  <a:noFill/>
                </a:ln>
                <a:effectLst/>
              </c:spPr>
              <c:txPr>
                <a:bodyPr vertOverflow="clip" horzOverflow="clip" wrap="square" lIns="38100" tIns="19050" rIns="38100" bIns="19050" anchor="ctr" anchorCtr="0">
                  <a:spAutoFit/>
                </a:bodyPr>
                <a:lstStyle/>
                <a:p>
                  <a:pPr algn="l">
                    <a:defRPr sz="900">
                      <a:latin typeface="Arial" panose="020B0604020202020204" pitchFamily="34" charset="0"/>
                      <a:ea typeface="Open Sans Light" panose="020B0306030504020204" pitchFamily="34" charset="0"/>
                      <a:cs typeface="Arial" panose="020B0604020202020204" pitchFamily="34" charset="0"/>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B89A-43E1-B6B0-9C74BAE5742A}"/>
                </c:ext>
              </c:extLst>
            </c:dLbl>
            <c:dLbl>
              <c:idx val="1"/>
              <c:layout>
                <c:manualLayout>
                  <c:x val="1.9137277179029976E-2"/>
                  <c:y val="-6.7807634995470392E-2"/>
                </c:manualLayout>
              </c:layout>
              <c:spPr>
                <a:noFill/>
                <a:ln>
                  <a:noFill/>
                </a:ln>
                <a:effectLst/>
              </c:spPr>
              <c:txPr>
                <a:bodyPr vertOverflow="clip" horzOverflow="clip" wrap="none" lIns="38100" tIns="19050" rIns="38100" bIns="19050" anchor="ctr" anchorCtr="0">
                  <a:spAutoFit/>
                </a:bodyPr>
                <a:lstStyle/>
                <a:p>
                  <a:pPr algn="l">
                    <a:defRPr sz="900">
                      <a:latin typeface="Arial" panose="020B0604020202020204" pitchFamily="34" charset="0"/>
                      <a:ea typeface="Open Sans Light" panose="020B0306030504020204" pitchFamily="34" charset="0"/>
                      <a:cs typeface="Arial" panose="020B0604020202020204" pitchFamily="34" charset="0"/>
                    </a:defRPr>
                  </a:pPr>
                  <a:endParaRPr lang="en-US"/>
                </a:p>
              </c:txP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3-EA90-4AD3-ABE4-5B34F4836766}"/>
                </c:ext>
              </c:extLst>
            </c:dLbl>
            <c:dLbl>
              <c:idx val="2"/>
              <c:layout>
                <c:manualLayout>
                  <c:x val="1.3026819748704328E-2"/>
                  <c:y val="-1.5037589533600872E-2"/>
                </c:manualLayout>
              </c:layout>
              <c:spPr>
                <a:noFill/>
                <a:ln>
                  <a:noFill/>
                </a:ln>
                <a:effectLst/>
              </c:spPr>
              <c:txPr>
                <a:bodyPr vertOverflow="clip" horzOverflow="clip" wrap="square" lIns="38100" tIns="19050" rIns="38100" bIns="19050" anchor="ctr" anchorCtr="0">
                  <a:spAutoFit/>
                </a:bodyPr>
                <a:lstStyle/>
                <a:p>
                  <a:pPr algn="l">
                    <a:defRPr sz="900">
                      <a:latin typeface="Arial" panose="020B0604020202020204" pitchFamily="34" charset="0"/>
                      <a:ea typeface="Open Sans Light" panose="020B0306030504020204" pitchFamily="34" charset="0"/>
                      <a:cs typeface="Arial" panose="020B0604020202020204" pitchFamily="34" charset="0"/>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EA90-4AD3-ABE4-5B34F4836766}"/>
                </c:ext>
              </c:extLst>
            </c:dLbl>
            <c:dLbl>
              <c:idx val="3"/>
              <c:layout>
                <c:manualLayout>
                  <c:x val="1.1579395332181518E-2"/>
                  <c:y val="-2.631578168380152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D4E3-40AF-8345-71890A74772B}"/>
                </c:ext>
              </c:extLst>
            </c:dLbl>
            <c:dLbl>
              <c:idx val="4"/>
              <c:layout>
                <c:manualLayout>
                  <c:x val="1.158161418747738E-2"/>
                  <c:y val="-2.674156309700396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D4E3-40AF-8345-71890A74772B}"/>
                </c:ext>
              </c:extLst>
            </c:dLbl>
            <c:spPr>
              <a:noFill/>
              <a:ln>
                <a:noFill/>
              </a:ln>
              <a:effectLst/>
            </c:spPr>
            <c:txPr>
              <a:bodyPr wrap="square" lIns="38100" tIns="19050" rIns="38100" bIns="19050" anchor="ctr" anchorCtr="0">
                <a:spAutoFit/>
              </a:bodyPr>
              <a:lstStyle/>
              <a:p>
                <a:pPr algn="l">
                  <a:defRPr sz="900">
                    <a:latin typeface="Open Sans Light" panose="020B0306030504020204" pitchFamily="34" charset="0"/>
                    <a:ea typeface="Open Sans Light" panose="020B0306030504020204" pitchFamily="34" charset="0"/>
                    <a:cs typeface="Open Sans Light" panose="020B0306030504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SUMEXPEN!$P$1472:$R$1472</c:f>
              <c:strCache>
                <c:ptCount val="3"/>
                <c:pt idx="0">
                  <c:v>2023-2024</c:v>
                </c:pt>
                <c:pt idx="1">
                  <c:v>2024-2025</c:v>
                </c:pt>
                <c:pt idx="2">
                  <c:v>2025-2026</c:v>
                </c:pt>
              </c:strCache>
            </c:strRef>
          </c:cat>
          <c:val>
            <c:numRef>
              <c:f>SUMEXPEN!$P$1473:$R$1473</c:f>
              <c:numCache>
                <c:formatCode>"$"#,##0_);\("$"#,##0\)</c:formatCode>
                <c:ptCount val="3"/>
                <c:pt idx="0">
                  <c:v>1020000</c:v>
                </c:pt>
                <c:pt idx="1">
                  <c:v>895000</c:v>
                </c:pt>
                <c:pt idx="2">
                  <c:v>765000</c:v>
                </c:pt>
              </c:numCache>
            </c:numRef>
          </c:val>
          <c:shape val="pyramid"/>
          <c:extLst>
            <c:ext xmlns:c16="http://schemas.microsoft.com/office/drawing/2014/chart" uri="{C3380CC4-5D6E-409C-BE32-E72D297353CC}">
              <c16:uniqueId val="{00000000-03ED-42F9-B639-8C83BB0EB494}"/>
            </c:ext>
          </c:extLst>
        </c:ser>
        <c:dLbls>
          <c:showLegendKey val="0"/>
          <c:showVal val="1"/>
          <c:showCatName val="0"/>
          <c:showSerName val="0"/>
          <c:showPercent val="0"/>
          <c:showBubbleSize val="0"/>
        </c:dLbls>
        <c:gapWidth val="150"/>
        <c:shape val="box"/>
        <c:axId val="128185088"/>
        <c:axId val="128186624"/>
        <c:axId val="0"/>
      </c:bar3DChart>
      <c:catAx>
        <c:axId val="128185088"/>
        <c:scaling>
          <c:orientation val="minMax"/>
        </c:scaling>
        <c:delete val="0"/>
        <c:axPos val="b"/>
        <c:numFmt formatCode="General" sourceLinked="1"/>
        <c:majorTickMark val="none"/>
        <c:minorTickMark val="none"/>
        <c:tickLblPos val="nextTo"/>
        <c:spPr>
          <a:noFill/>
        </c:spPr>
        <c:txPr>
          <a:bodyPr rot="0" anchor="t" anchorCtr="0"/>
          <a:lstStyle/>
          <a:p>
            <a:pPr>
              <a:defRPr sz="900" b="0" baseline="0">
                <a:solidFill>
                  <a:sysClr val="windowText" lastClr="000000"/>
                </a:solidFill>
                <a:latin typeface="Arial" panose="020B0604020202020204" pitchFamily="34" charset="0"/>
                <a:ea typeface="Open Sans" panose="020B0606030504020204" pitchFamily="34" charset="0"/>
                <a:cs typeface="Arial" panose="020B0604020202020204" pitchFamily="34" charset="0"/>
              </a:defRPr>
            </a:pPr>
            <a:endParaRPr lang="en-US"/>
          </a:p>
        </c:txPr>
        <c:crossAx val="128186624"/>
        <c:crosses val="autoZero"/>
        <c:auto val="1"/>
        <c:lblAlgn val="ctr"/>
        <c:lblOffset val="100"/>
        <c:noMultiLvlLbl val="0"/>
      </c:catAx>
      <c:valAx>
        <c:axId val="128186624"/>
        <c:scaling>
          <c:orientation val="minMax"/>
        </c:scaling>
        <c:delete val="0"/>
        <c:axPos val="l"/>
        <c:majorGridlines>
          <c:spPr>
            <a:ln>
              <a:solidFill>
                <a:srgbClr val="53565A"/>
              </a:solidFill>
            </a:ln>
          </c:spPr>
        </c:majorGridlines>
        <c:numFmt formatCode="&quot;$&quot;#,##0_);\(&quot;$&quot;#,##0\)" sourceLinked="1"/>
        <c:majorTickMark val="none"/>
        <c:minorTickMark val="none"/>
        <c:tickLblPos val="nextTo"/>
        <c:spPr>
          <a:ln>
            <a:solidFill>
              <a:srgbClr val="53565A"/>
            </a:solidFill>
          </a:ln>
        </c:spPr>
        <c:txPr>
          <a:bodyPr/>
          <a:lstStyle/>
          <a:p>
            <a:pPr>
              <a:defRPr sz="900" baseline="0">
                <a:latin typeface="Arial" panose="020B0604020202020204" pitchFamily="34" charset="0"/>
                <a:ea typeface="Open Sans" panose="020B0606030504020204" pitchFamily="34" charset="0"/>
                <a:cs typeface="Arial" panose="020B0604020202020204" pitchFamily="34" charset="0"/>
              </a:defRPr>
            </a:pPr>
            <a:endParaRPr lang="en-US"/>
          </a:p>
        </c:txPr>
        <c:crossAx val="128185088"/>
        <c:crosses val="autoZero"/>
        <c:crossBetween val="between"/>
      </c:valAx>
      <c:spPr>
        <a:noFill/>
        <a:ln>
          <a:noFill/>
        </a:ln>
      </c:spPr>
    </c:plotArea>
    <c:plotVisOnly val="1"/>
    <c:dispBlanksAs val="gap"/>
    <c:showDLblsOverMax val="0"/>
  </c:chart>
  <c:spPr>
    <a:noFill/>
    <a:ln>
      <a:solidFill>
        <a:srgbClr val="53565A"/>
      </a:solidFill>
    </a:ln>
  </c:spPr>
  <c:printSettings>
    <c:headerFooter/>
    <c:pageMargins b="0.75" l="0.7" r="0.7" t="0.75" header="0.3" footer="0.3"/>
    <c:pageSetup orientation="portrait"/>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34"/>
    </mc:Choice>
    <mc:Fallback>
      <c:style val="34"/>
    </mc:Fallback>
  </mc:AlternateContent>
  <c:clrMapOvr bg1="lt1" tx1="dk1" bg2="lt2" tx2="dk2" accent1="accent1" accent2="accent2" accent3="accent3" accent4="accent4" accent5="accent5" accent6="accent6" hlink="hlink" folHlink="folHlink"/>
  <c:chart>
    <c:title>
      <c:tx>
        <c:rich>
          <a:bodyPr/>
          <a:lstStyle/>
          <a:p>
            <a:pPr algn="ctr" rtl="0">
              <a:defRPr lang="en-US" sz="1400" b="0" i="0" u="none" strike="noStrike" kern="1200" baseline="0">
                <a:solidFill>
                  <a:srgbClr val="B7312C"/>
                </a:solidFill>
                <a:latin typeface="Open Sans Semibold" panose="020B0706030804020204" pitchFamily="34" charset="0"/>
                <a:ea typeface="Open Sans Semibold" panose="020B0706030804020204" pitchFamily="34" charset="0"/>
                <a:cs typeface="Open Sans Semibold" panose="020B0706030804020204" pitchFamily="34" charset="0"/>
              </a:defRPr>
            </a:pPr>
            <a:r>
              <a:rPr lang="en-US" sz="1400" b="0" i="0" u="none" strike="noStrike" kern="1200" baseline="0">
                <a:solidFill>
                  <a:srgbClr val="B7312C"/>
                </a:solidFill>
                <a:latin typeface="Arial" panose="020B0604020202020204" pitchFamily="34" charset="0"/>
                <a:ea typeface="Open Sans Semibold" panose="020B0706030804020204" pitchFamily="34" charset="0"/>
                <a:cs typeface="Arial" panose="020B0604020202020204" pitchFamily="34" charset="0"/>
              </a:rPr>
              <a:t>Summary of Total Expenditures by Function (All Funds)</a:t>
            </a:r>
          </a:p>
        </c:rich>
      </c:tx>
      <c:overlay val="0"/>
    </c:title>
    <c:autoTitleDeleted val="0"/>
    <c:view3D>
      <c:rotX val="30"/>
      <c:rotY val="0"/>
      <c:rAngAx val="1"/>
    </c:view3D>
    <c:floor>
      <c:thickness val="0"/>
    </c:floor>
    <c:sideWall>
      <c:thickness val="0"/>
    </c:sideWall>
    <c:backWall>
      <c:thickness val="0"/>
    </c:backWall>
    <c:plotArea>
      <c:layout>
        <c:manualLayout>
          <c:layoutTarget val="inner"/>
          <c:xMode val="edge"/>
          <c:yMode val="edge"/>
          <c:x val="1.3523198241645184E-3"/>
          <c:y val="0.29642762076836715"/>
          <c:w val="0.85295348660482029"/>
          <c:h val="0.58120675425486823"/>
        </c:manualLayout>
      </c:layout>
      <c:pie3DChart>
        <c:varyColors val="1"/>
        <c:ser>
          <c:idx val="0"/>
          <c:order val="0"/>
          <c:tx>
            <c:strRef>
              <c:f>SUMEXPEN!$P$49</c:f>
              <c:strCache>
                <c:ptCount val="1"/>
                <c:pt idx="0">
                  <c:v>2025-2026</c:v>
                </c:pt>
              </c:strCache>
            </c:strRef>
          </c:tx>
          <c:dPt>
            <c:idx val="0"/>
            <c:bubble3D val="0"/>
            <c:spPr>
              <a:solidFill>
                <a:srgbClr val="FFA400"/>
              </a:solidFill>
              <a:ln>
                <a:solidFill>
                  <a:srgbClr val="D28700"/>
                </a:solidFill>
              </a:ln>
            </c:spPr>
            <c:extLst>
              <c:ext xmlns:c16="http://schemas.microsoft.com/office/drawing/2014/chart" uri="{C3380CC4-5D6E-409C-BE32-E72D297353CC}">
                <c16:uniqueId val="{00000001-6F08-487A-9C7A-02880EE3903F}"/>
              </c:ext>
            </c:extLst>
          </c:dPt>
          <c:dPt>
            <c:idx val="1"/>
            <c:bubble3D val="0"/>
            <c:spPr>
              <a:solidFill>
                <a:srgbClr val="12284C"/>
              </a:solidFill>
              <a:ln>
                <a:solidFill>
                  <a:srgbClr val="005587"/>
                </a:solidFill>
              </a:ln>
            </c:spPr>
            <c:extLst>
              <c:ext xmlns:c16="http://schemas.microsoft.com/office/drawing/2014/chart" uri="{C3380CC4-5D6E-409C-BE32-E72D297353CC}">
                <c16:uniqueId val="{00000002-6F08-487A-9C7A-02880EE3903F}"/>
              </c:ext>
            </c:extLst>
          </c:dPt>
          <c:dPt>
            <c:idx val="2"/>
            <c:bubble3D val="0"/>
            <c:spPr>
              <a:solidFill>
                <a:srgbClr val="00B796"/>
              </a:solidFill>
              <a:ln>
                <a:solidFill>
                  <a:srgbClr val="008269"/>
                </a:solidFill>
              </a:ln>
            </c:spPr>
            <c:extLst>
              <c:ext xmlns:c16="http://schemas.microsoft.com/office/drawing/2014/chart" uri="{C3380CC4-5D6E-409C-BE32-E72D297353CC}">
                <c16:uniqueId val="{00000003-6F08-487A-9C7A-02880EE3903F}"/>
              </c:ext>
            </c:extLst>
          </c:dPt>
          <c:dPt>
            <c:idx val="3"/>
            <c:bubble3D val="0"/>
            <c:spPr>
              <a:solidFill>
                <a:srgbClr val="D50032"/>
              </a:solidFill>
              <a:ln>
                <a:solidFill>
                  <a:srgbClr val="B7312C"/>
                </a:solidFill>
              </a:ln>
            </c:spPr>
            <c:extLst>
              <c:ext xmlns:c16="http://schemas.microsoft.com/office/drawing/2014/chart" uri="{C3380CC4-5D6E-409C-BE32-E72D297353CC}">
                <c16:uniqueId val="{00000000-6F08-487A-9C7A-02880EE3903F}"/>
              </c:ext>
            </c:extLst>
          </c:dPt>
          <c:dPt>
            <c:idx val="4"/>
            <c:bubble3D val="0"/>
            <c:spPr>
              <a:solidFill>
                <a:srgbClr val="D28700"/>
              </a:solidFill>
              <a:ln>
                <a:solidFill>
                  <a:srgbClr val="FFA400"/>
                </a:solidFill>
              </a:ln>
            </c:spPr>
            <c:extLst>
              <c:ext xmlns:c16="http://schemas.microsoft.com/office/drawing/2014/chart" uri="{C3380CC4-5D6E-409C-BE32-E72D297353CC}">
                <c16:uniqueId val="{00000004-6F08-487A-9C7A-02880EE3903F}"/>
              </c:ext>
            </c:extLst>
          </c:dPt>
          <c:dPt>
            <c:idx val="5"/>
            <c:bubble3D val="0"/>
            <c:spPr>
              <a:solidFill>
                <a:srgbClr val="53565A"/>
              </a:solidFill>
              <a:ln>
                <a:solidFill>
                  <a:srgbClr val="C2C4C6"/>
                </a:solidFill>
              </a:ln>
            </c:spPr>
            <c:extLst>
              <c:ext xmlns:c16="http://schemas.microsoft.com/office/drawing/2014/chart" uri="{C3380CC4-5D6E-409C-BE32-E72D297353CC}">
                <c16:uniqueId val="{00000005-6F08-487A-9C7A-02880EE3903F}"/>
              </c:ext>
            </c:extLst>
          </c:dPt>
          <c:dPt>
            <c:idx val="6"/>
            <c:bubble3D val="0"/>
            <c:spPr>
              <a:solidFill>
                <a:srgbClr val="008269"/>
              </a:solidFill>
              <a:ln>
                <a:solidFill>
                  <a:srgbClr val="00B796"/>
                </a:solidFill>
              </a:ln>
            </c:spPr>
            <c:extLst>
              <c:ext xmlns:c16="http://schemas.microsoft.com/office/drawing/2014/chart" uri="{C3380CC4-5D6E-409C-BE32-E72D297353CC}">
                <c16:uniqueId val="{00000006-6F08-487A-9C7A-02880EE3903F}"/>
              </c:ext>
            </c:extLst>
          </c:dPt>
          <c:dPt>
            <c:idx val="7"/>
            <c:bubble3D val="0"/>
            <c:spPr>
              <a:solidFill>
                <a:srgbClr val="B7312C"/>
              </a:solidFill>
              <a:ln>
                <a:solidFill>
                  <a:srgbClr val="D50032"/>
                </a:solidFill>
              </a:ln>
            </c:spPr>
            <c:extLst>
              <c:ext xmlns:c16="http://schemas.microsoft.com/office/drawing/2014/chart" uri="{C3380CC4-5D6E-409C-BE32-E72D297353CC}">
                <c16:uniqueId val="{00000007-6F08-487A-9C7A-02880EE3903F}"/>
              </c:ext>
            </c:extLst>
          </c:dPt>
          <c:dPt>
            <c:idx val="8"/>
            <c:bubble3D val="0"/>
            <c:spPr>
              <a:solidFill>
                <a:srgbClr val="005587"/>
              </a:solidFill>
              <a:ln>
                <a:solidFill>
                  <a:srgbClr val="12284C"/>
                </a:solidFill>
              </a:ln>
            </c:spPr>
            <c:extLst>
              <c:ext xmlns:c16="http://schemas.microsoft.com/office/drawing/2014/chart" uri="{C3380CC4-5D6E-409C-BE32-E72D297353CC}">
                <c16:uniqueId val="{0000000E-6CF0-484D-9AFC-2C5FE0CAB48D}"/>
              </c:ext>
            </c:extLst>
          </c:dPt>
          <c:dPt>
            <c:idx val="9"/>
            <c:bubble3D val="0"/>
            <c:spPr>
              <a:solidFill>
                <a:srgbClr val="C2C4C6"/>
              </a:solidFill>
              <a:ln>
                <a:solidFill>
                  <a:srgbClr val="53565A"/>
                </a:solidFill>
              </a:ln>
            </c:spPr>
            <c:extLst>
              <c:ext xmlns:c16="http://schemas.microsoft.com/office/drawing/2014/chart" uri="{C3380CC4-5D6E-409C-BE32-E72D297353CC}">
                <c16:uniqueId val="{00000012-A327-4503-9607-4AB1FB504017}"/>
              </c:ext>
            </c:extLst>
          </c:dPt>
          <c:dPt>
            <c:idx val="10"/>
            <c:bubble3D val="0"/>
            <c:spPr>
              <a:solidFill>
                <a:srgbClr val="FFCE75"/>
              </a:solidFill>
              <a:ln>
                <a:solidFill>
                  <a:sysClr val="windowText" lastClr="000000"/>
                </a:solidFill>
              </a:ln>
            </c:spPr>
            <c:extLst>
              <c:ext xmlns:c16="http://schemas.microsoft.com/office/drawing/2014/chart" uri="{C3380CC4-5D6E-409C-BE32-E72D297353CC}">
                <c16:uniqueId val="{00000027-B5E0-4308-B498-E4E34FEF13DC}"/>
              </c:ext>
            </c:extLst>
          </c:dPt>
          <c:dPt>
            <c:idx val="11"/>
            <c:bubble3D val="0"/>
            <c:spPr>
              <a:solidFill>
                <a:srgbClr val="070F1B"/>
              </a:solidFill>
              <a:ln>
                <a:solidFill>
                  <a:sysClr val="windowText" lastClr="000000"/>
                </a:solidFill>
              </a:ln>
            </c:spPr>
            <c:extLst>
              <c:ext xmlns:c16="http://schemas.microsoft.com/office/drawing/2014/chart" uri="{C3380CC4-5D6E-409C-BE32-E72D297353CC}">
                <c16:uniqueId val="{00000028-B5E0-4308-B498-E4E34FEF13DC}"/>
              </c:ext>
            </c:extLst>
          </c:dPt>
          <c:dPt>
            <c:idx val="12"/>
            <c:bubble3D val="0"/>
            <c:spPr>
              <a:solidFill>
                <a:srgbClr val="7F241F"/>
              </a:solidFill>
              <a:ln>
                <a:solidFill>
                  <a:sysClr val="windowText" lastClr="000000"/>
                </a:solidFill>
              </a:ln>
            </c:spPr>
            <c:extLst>
              <c:ext xmlns:c16="http://schemas.microsoft.com/office/drawing/2014/chart" uri="{C3380CC4-5D6E-409C-BE32-E72D297353CC}">
                <c16:uniqueId val="{00000029-B5E0-4308-B498-E4E34FEF13DC}"/>
              </c:ext>
            </c:extLst>
          </c:dPt>
          <c:dPt>
            <c:idx val="13"/>
            <c:bubble3D val="0"/>
            <c:spPr>
              <a:solidFill>
                <a:srgbClr val="383A3C"/>
              </a:solidFill>
              <a:ln>
                <a:solidFill>
                  <a:sysClr val="windowText" lastClr="000000"/>
                </a:solidFill>
              </a:ln>
            </c:spPr>
            <c:extLst>
              <c:ext xmlns:c16="http://schemas.microsoft.com/office/drawing/2014/chart" uri="{C3380CC4-5D6E-409C-BE32-E72D297353CC}">
                <c16:uniqueId val="{0000002A-B5E0-4308-B498-E4E34FEF13DC}"/>
              </c:ext>
            </c:extLst>
          </c:dPt>
          <c:dLbls>
            <c:dLbl>
              <c:idx val="0"/>
              <c:layout>
                <c:manualLayout>
                  <c:x val="2.1108379876261629E-2"/>
                  <c:y val="7.3484010081609541E-2"/>
                </c:manualLayout>
              </c:layout>
              <c:tx>
                <c:rich>
                  <a:bodyPr/>
                  <a:lstStyle/>
                  <a:p>
                    <a:fld id="{EE03D08F-12D4-4AFA-BA34-ECDA40FEF69E}" type="CELLRANGE">
                      <a:rPr lang="en-US" baseline="0"/>
                      <a:pPr/>
                      <a:t>[CELLRANGE]</a:t>
                    </a:fld>
                    <a:r>
                      <a:rPr lang="en-US" baseline="0"/>
                      <a:t>
</a:t>
                    </a:r>
                    <a:fld id="{950681DC-0690-4027-B273-D65E3E875687}" type="VALUE">
                      <a:rPr lang="en-US" baseline="0"/>
                      <a:pPr/>
                      <a:t>[VALUE]</a:t>
                    </a:fld>
                    <a:endParaRPr lang="en-US" baseline="0"/>
                  </a:p>
                </c:rich>
              </c:tx>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1-6F08-487A-9C7A-02880EE3903F}"/>
                </c:ext>
              </c:extLst>
            </c:dLbl>
            <c:dLbl>
              <c:idx val="1"/>
              <c:layout>
                <c:manualLayout>
                  <c:x val="9.8725955848705291E-2"/>
                  <c:y val="-4.55906472703027E-3"/>
                </c:manualLayout>
              </c:layout>
              <c:tx>
                <c:rich>
                  <a:bodyPr/>
                  <a:lstStyle/>
                  <a:p>
                    <a:endParaRPr lang="en-US" baseline="0"/>
                  </a:p>
                </c:rich>
              </c:tx>
              <c:showLegendKey val="0"/>
              <c:showVal val="1"/>
              <c:showCatName val="0"/>
              <c:showSerName val="0"/>
              <c:showPercent val="0"/>
              <c:showBubbleSize val="0"/>
              <c:separator>
</c:separator>
              <c:extLst>
                <c:ext xmlns:c15="http://schemas.microsoft.com/office/drawing/2012/chart" uri="{CE6537A1-D6FC-4f65-9D91-7224C49458BB}">
                  <c15:showDataLabelsRange val="1"/>
                </c:ext>
                <c:ext xmlns:c16="http://schemas.microsoft.com/office/drawing/2014/chart" uri="{C3380CC4-5D6E-409C-BE32-E72D297353CC}">
                  <c16:uniqueId val="{00000002-6F08-487A-9C7A-02880EE3903F}"/>
                </c:ext>
              </c:extLst>
            </c:dLbl>
            <c:dLbl>
              <c:idx val="2"/>
              <c:layout>
                <c:manualLayout>
                  <c:x val="-1.5129787133321786E-2"/>
                  <c:y val="5.425850888908553E-3"/>
                </c:manualLayout>
              </c:layout>
              <c:tx>
                <c:rich>
                  <a:bodyPr/>
                  <a:lstStyle/>
                  <a:p>
                    <a:endParaRPr lang="en-US" baseline="0"/>
                  </a:p>
                </c:rich>
              </c:tx>
              <c:showLegendKey val="0"/>
              <c:showVal val="1"/>
              <c:showCatName val="0"/>
              <c:showSerName val="0"/>
              <c:showPercent val="0"/>
              <c:showBubbleSize val="0"/>
              <c:separator>
</c:separator>
              <c:extLst>
                <c:ext xmlns:c15="http://schemas.microsoft.com/office/drawing/2012/chart" uri="{CE6537A1-D6FC-4f65-9D91-7224C49458BB}">
                  <c15:showDataLabelsRange val="1"/>
                </c:ext>
                <c:ext xmlns:c16="http://schemas.microsoft.com/office/drawing/2014/chart" uri="{C3380CC4-5D6E-409C-BE32-E72D297353CC}">
                  <c16:uniqueId val="{00000003-6F08-487A-9C7A-02880EE3903F}"/>
                </c:ext>
              </c:extLst>
            </c:dLbl>
            <c:dLbl>
              <c:idx val="3"/>
              <c:tx>
                <c:rich>
                  <a:bodyPr/>
                  <a:lstStyle/>
                  <a:p>
                    <a:fld id="{DAEFC824-4000-421B-8E96-681970C3EE6F}" type="CELLRANGE">
                      <a:rPr lang="en-US"/>
                      <a:pPr/>
                      <a:t>[CELLRANGE]</a:t>
                    </a:fld>
                    <a:r>
                      <a:rPr lang="en-US" baseline="0"/>
                      <a:t>
</a:t>
                    </a:r>
                    <a:fld id="{175B387B-DA38-40F6-8087-BB96133E3033}" type="VALUE">
                      <a:rPr lang="en-US" baseline="0"/>
                      <a:pPr/>
                      <a:t>[VALUE]</a:t>
                    </a:fld>
                    <a:endParaRPr lang="en-US" baseline="0"/>
                  </a:p>
                </c:rich>
              </c:tx>
              <c:showLegendKey val="0"/>
              <c:showVal val="1"/>
              <c:showCatName val="0"/>
              <c:showSerName val="0"/>
              <c:showPercent val="0"/>
              <c:showBubbleSize val="0"/>
              <c:separator>
</c:separator>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0-6F08-487A-9C7A-02880EE3903F}"/>
                </c:ext>
              </c:extLst>
            </c:dLbl>
            <c:dLbl>
              <c:idx val="4"/>
              <c:layout>
                <c:manualLayout>
                  <c:x val="-1.6785564414604503E-3"/>
                  <c:y val="-4.5270724199858612E-3"/>
                </c:manualLayout>
              </c:layout>
              <c:tx>
                <c:rich>
                  <a:bodyPr/>
                  <a:lstStyle/>
                  <a:p>
                    <a:fld id="{1CB4BEB8-A039-436A-ADCD-D839CB512E23}" type="CELLRANGE">
                      <a:rPr lang="en-US" baseline="0"/>
                      <a:pPr/>
                      <a:t>[CELLRANGE]</a:t>
                    </a:fld>
                    <a:r>
                      <a:rPr lang="en-US" baseline="0"/>
                      <a:t>
</a:t>
                    </a:r>
                    <a:fld id="{1902C9C1-76CC-4F62-B37D-87AACE51E6CF}" type="VALUE">
                      <a:rPr lang="en-US" baseline="0"/>
                      <a:pPr/>
                      <a:t>[VALUE]</a:t>
                    </a:fld>
                    <a:endParaRPr lang="en-US" baseline="0"/>
                  </a:p>
                </c:rich>
              </c:tx>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4-6F08-487A-9C7A-02880EE3903F}"/>
                </c:ext>
              </c:extLst>
            </c:dLbl>
            <c:dLbl>
              <c:idx val="5"/>
              <c:layout>
                <c:manualLayout>
                  <c:x val="-1.9382281623614658E-2"/>
                  <c:y val="-9.3616609697221631E-2"/>
                </c:manualLayout>
              </c:layout>
              <c:tx>
                <c:rich>
                  <a:bodyPr/>
                  <a:lstStyle/>
                  <a:p>
                    <a:fld id="{1C41D87B-4A99-4A8E-9AA2-C826D2F9777E}" type="CELLRANGE">
                      <a:rPr lang="en-US" baseline="0"/>
                      <a:pPr/>
                      <a:t>[CELLRANGE]</a:t>
                    </a:fld>
                    <a:r>
                      <a:rPr lang="en-US" baseline="0"/>
                      <a:t>
</a:t>
                    </a:r>
                    <a:fld id="{57460601-2539-4C4A-8D16-195533B36026}" type="VALUE">
                      <a:rPr lang="en-US" baseline="0"/>
                      <a:pPr/>
                      <a:t>[VALUE]</a:t>
                    </a:fld>
                    <a:endParaRPr lang="en-US" baseline="0"/>
                  </a:p>
                </c:rich>
              </c:tx>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5-6F08-487A-9C7A-02880EE3903F}"/>
                </c:ext>
              </c:extLst>
            </c:dLbl>
            <c:dLbl>
              <c:idx val="6"/>
              <c:tx>
                <c:rich>
                  <a:bodyPr/>
                  <a:lstStyle/>
                  <a:p>
                    <a:fld id="{231066E7-17D6-4486-91B0-9403597BBE6E}" type="CELLRANGE">
                      <a:rPr lang="en-US"/>
                      <a:pPr/>
                      <a:t>[CELLRANGE]</a:t>
                    </a:fld>
                    <a:r>
                      <a:rPr lang="en-US" baseline="0"/>
                      <a:t>
</a:t>
                    </a:r>
                    <a:fld id="{499B9B4E-8CE1-44AE-A18C-6531E5CBFFDC}" type="VALUE">
                      <a:rPr lang="en-US" baseline="0"/>
                      <a:pPr/>
                      <a:t>[VALUE]</a:t>
                    </a:fld>
                    <a:endParaRPr lang="en-US" baseline="0"/>
                  </a:p>
                </c:rich>
              </c:tx>
              <c:showLegendKey val="0"/>
              <c:showVal val="1"/>
              <c:showCatName val="0"/>
              <c:showSerName val="0"/>
              <c:showPercent val="0"/>
              <c:showBubbleSize val="0"/>
              <c:separator>
</c:separator>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6-6F08-487A-9C7A-02880EE3903F}"/>
                </c:ext>
              </c:extLst>
            </c:dLbl>
            <c:dLbl>
              <c:idx val="7"/>
              <c:tx>
                <c:rich>
                  <a:bodyPr/>
                  <a:lstStyle/>
                  <a:p>
                    <a:endParaRPr lang="en-US"/>
                  </a:p>
                </c:rich>
              </c:tx>
              <c:showLegendKey val="0"/>
              <c:showVal val="1"/>
              <c:showCatName val="0"/>
              <c:showSerName val="0"/>
              <c:showPercent val="0"/>
              <c:showBubbleSize val="0"/>
              <c:separator>
</c:separator>
              <c:extLst>
                <c:ext xmlns:c15="http://schemas.microsoft.com/office/drawing/2012/chart" uri="{CE6537A1-D6FC-4f65-9D91-7224C49458BB}">
                  <c15:showDataLabelsRange val="0"/>
                </c:ext>
                <c:ext xmlns:c16="http://schemas.microsoft.com/office/drawing/2014/chart" uri="{C3380CC4-5D6E-409C-BE32-E72D297353CC}">
                  <c16:uniqueId val="{00000007-6F08-487A-9C7A-02880EE3903F}"/>
                </c:ext>
              </c:extLst>
            </c:dLbl>
            <c:dLbl>
              <c:idx val="8"/>
              <c:tx>
                <c:rich>
                  <a:bodyPr/>
                  <a:lstStyle/>
                  <a:p>
                    <a:endParaRPr lang="en-US"/>
                  </a:p>
                </c:rich>
              </c:tx>
              <c:showLegendKey val="0"/>
              <c:showVal val="1"/>
              <c:showCatName val="0"/>
              <c:showSerName val="0"/>
              <c:showPercent val="0"/>
              <c:showBubbleSize val="0"/>
              <c:separator>
</c:separator>
              <c:extLst>
                <c:ext xmlns:c15="http://schemas.microsoft.com/office/drawing/2012/chart" uri="{CE6537A1-D6FC-4f65-9D91-7224C49458BB}">
                  <c15:showDataLabelsRange val="0"/>
                </c:ext>
                <c:ext xmlns:c16="http://schemas.microsoft.com/office/drawing/2014/chart" uri="{C3380CC4-5D6E-409C-BE32-E72D297353CC}">
                  <c16:uniqueId val="{0000000E-6CF0-484D-9AFC-2C5FE0CAB48D}"/>
                </c:ext>
              </c:extLst>
            </c:dLbl>
            <c:dLbl>
              <c:idx val="9"/>
              <c:layout>
                <c:manualLayout>
                  <c:x val="3.3215985777328934E-2"/>
                  <c:y val="-2.9098250170290964E-2"/>
                </c:manualLayout>
              </c:layout>
              <c:tx>
                <c:rich>
                  <a:bodyPr/>
                  <a:lstStyle/>
                  <a:p>
                    <a:endParaRPr lang="en-US" baseline="0"/>
                  </a:p>
                </c:rich>
              </c:tx>
              <c:showLegendKey val="0"/>
              <c:showVal val="1"/>
              <c:showCatName val="0"/>
              <c:showSerName val="0"/>
              <c:showPercent val="0"/>
              <c:showBubbleSize val="0"/>
              <c:separator>
</c:separator>
              <c:extLst>
                <c:ext xmlns:c15="http://schemas.microsoft.com/office/drawing/2012/chart" uri="{CE6537A1-D6FC-4f65-9D91-7224C49458BB}">
                  <c15:showDataLabelsRange val="0"/>
                </c:ext>
                <c:ext xmlns:c16="http://schemas.microsoft.com/office/drawing/2014/chart" uri="{C3380CC4-5D6E-409C-BE32-E72D297353CC}">
                  <c16:uniqueId val="{00000012-A327-4503-9607-4AB1FB504017}"/>
                </c:ext>
              </c:extLst>
            </c:dLbl>
            <c:spPr>
              <a:noFill/>
              <a:ln>
                <a:noFill/>
              </a:ln>
              <a:effectLst/>
            </c:spPr>
            <c:txPr>
              <a:bodyPr wrap="square" lIns="38100" tIns="19050" rIns="38100" bIns="19050" anchor="ctr">
                <a:spAutoFit/>
              </a:bodyPr>
              <a:lstStyle/>
              <a:p>
                <a:pPr>
                  <a:defRPr sz="900">
                    <a:solidFill>
                      <a:sysClr val="windowText" lastClr="000000"/>
                    </a:solidFill>
                    <a:latin typeface="Arial" panose="020B0604020202020204" pitchFamily="34" charset="0"/>
                    <a:ea typeface="Open Sans Light" panose="020B0306030504020204" pitchFamily="34" charset="0"/>
                    <a:cs typeface="Arial" panose="020B0604020202020204" pitchFamily="34" charset="0"/>
                  </a:defRPr>
                </a:pPr>
                <a:endParaRPr lang="en-US"/>
              </a:p>
            </c:txPr>
            <c:showLegendKey val="0"/>
            <c:showVal val="1"/>
            <c:showCatName val="0"/>
            <c:showSerName val="0"/>
            <c:showPercent val="0"/>
            <c:showBubbleSize val="0"/>
            <c:separator>
</c:separator>
            <c:showLeaderLines val="1"/>
            <c:extLst>
              <c:ext xmlns:c15="http://schemas.microsoft.com/office/drawing/2012/chart" uri="{CE6537A1-D6FC-4f65-9D91-7224C49458BB}">
                <c15:showDataLabelsRange val="1"/>
              </c:ext>
            </c:extLst>
          </c:dLbls>
          <c:cat>
            <c:strRef>
              <c:f>SUMEXPEN!$O$50:$O$59</c:f>
              <c:strCache>
                <c:ptCount val="10"/>
                <c:pt idx="0">
                  <c:v>Instruction: 50%</c:v>
                </c:pt>
                <c:pt idx="1">
                  <c:v>Student Support Services: 0%</c:v>
                </c:pt>
                <c:pt idx="2">
                  <c:v>Instructional Support Services: &lt;1%</c:v>
                </c:pt>
                <c:pt idx="3">
                  <c:v>Administration &amp; Support: 10%</c:v>
                </c:pt>
                <c:pt idx="4">
                  <c:v>Operations &amp; Maintenance: 22%</c:v>
                </c:pt>
                <c:pt idx="5">
                  <c:v>Transportation: 7%</c:v>
                </c:pt>
                <c:pt idx="6">
                  <c:v>Food Services: 5%</c:v>
                </c:pt>
                <c:pt idx="7">
                  <c:v>Capital Improvements: 0.%</c:v>
                </c:pt>
                <c:pt idx="8">
                  <c:v>Debt Services: 6%</c:v>
                </c:pt>
                <c:pt idx="9">
                  <c:v>Other Costs: 0%</c:v>
                </c:pt>
              </c:strCache>
            </c:strRef>
          </c:cat>
          <c:val>
            <c:numRef>
              <c:f>SUMEXPEN!$P$50:$P$59</c:f>
              <c:numCache>
                <c:formatCode>0%</c:formatCode>
                <c:ptCount val="10"/>
                <c:pt idx="0">
                  <c:v>0.5</c:v>
                </c:pt>
                <c:pt idx="1">
                  <c:v>#N/A</c:v>
                </c:pt>
                <c:pt idx="2">
                  <c:v>#N/A</c:v>
                </c:pt>
                <c:pt idx="3">
                  <c:v>0.1</c:v>
                </c:pt>
                <c:pt idx="4">
                  <c:v>0.22</c:v>
                </c:pt>
                <c:pt idx="5">
                  <c:v>7.0000000000000007E-2</c:v>
                </c:pt>
                <c:pt idx="6">
                  <c:v>0.05</c:v>
                </c:pt>
                <c:pt idx="7">
                  <c:v>#N/A</c:v>
                </c:pt>
                <c:pt idx="8">
                  <c:v>0.06</c:v>
                </c:pt>
                <c:pt idx="9">
                  <c:v>#N/A</c:v>
                </c:pt>
              </c:numCache>
            </c:numRef>
          </c:val>
          <c:extLst>
            <c:ext xmlns:c15="http://schemas.microsoft.com/office/drawing/2012/chart" uri="{02D57815-91ED-43cb-92C2-25804820EDAC}">
              <c15:datalabelsRange>
                <c15:f>SUMEXPEN!$Q$50:$Q$59</c15:f>
                <c15:dlblRangeCache>
                  <c:ptCount val="10"/>
                  <c:pt idx="0">
                    <c:v>Instruction</c:v>
                  </c:pt>
                  <c:pt idx="1">
                    <c:v>Student Support Services</c:v>
                  </c:pt>
                  <c:pt idx="2">
                    <c:v>Instructional Support Services</c:v>
                  </c:pt>
                  <c:pt idx="3">
                    <c:v>Administration &amp; Support</c:v>
                  </c:pt>
                  <c:pt idx="4">
                    <c:v>Operations &amp; Maintenance</c:v>
                  </c:pt>
                  <c:pt idx="5">
                    <c:v>Transportation</c:v>
                  </c:pt>
                  <c:pt idx="6">
                    <c:v>Food Services</c:v>
                  </c:pt>
                  <c:pt idx="7">
                    <c:v>Capital Improvements</c:v>
                  </c:pt>
                  <c:pt idx="8">
                    <c:v>Debt Services</c:v>
                  </c:pt>
                  <c:pt idx="9">
                    <c:v>Other Costs</c:v>
                  </c:pt>
                </c15:dlblRangeCache>
              </c15:datalabelsRange>
            </c:ext>
            <c:ext xmlns:c16="http://schemas.microsoft.com/office/drawing/2014/chart" uri="{C3380CC4-5D6E-409C-BE32-E72D297353CC}">
              <c16:uniqueId val="{00000000-5C91-4ED5-A85B-5F66A849B5EA}"/>
            </c:ext>
          </c:extLst>
        </c:ser>
        <c:dLbls>
          <c:showLegendKey val="0"/>
          <c:showVal val="0"/>
          <c:showCatName val="1"/>
          <c:showSerName val="0"/>
          <c:showPercent val="1"/>
          <c:showBubbleSize val="0"/>
          <c:showLeaderLines val="1"/>
        </c:dLbls>
      </c:pie3DChart>
    </c:plotArea>
    <c:legend>
      <c:legendPos val="r"/>
      <c:layout>
        <c:manualLayout>
          <c:xMode val="edge"/>
          <c:yMode val="edge"/>
          <c:x val="0.76452320408723951"/>
          <c:y val="0.14634665001152475"/>
          <c:w val="0.23547679591276036"/>
          <c:h val="0.8536533499884752"/>
        </c:manualLayout>
      </c:layout>
      <c:overlay val="0"/>
      <c:txPr>
        <a:bodyPr/>
        <a:lstStyle/>
        <a:p>
          <a:pPr>
            <a:defRPr sz="900" baseline="0">
              <a:latin typeface="Arial" panose="020B0604020202020204" pitchFamily="34" charset="0"/>
              <a:ea typeface="Open Sans Light" panose="020B0306030504020204" pitchFamily="34" charset="0"/>
              <a:cs typeface="Arial" panose="020B0604020202020204" pitchFamily="34" charset="0"/>
            </a:defRPr>
          </a:pPr>
          <a:endParaRPr lang="en-US"/>
        </a:p>
      </c:txPr>
    </c:legend>
    <c:plotVisOnly val="1"/>
    <c:dispBlanksAs val="gap"/>
    <c:showDLblsOverMax val="0"/>
  </c:chart>
  <c:spPr>
    <a:noFill/>
    <a:ln>
      <a:solidFill>
        <a:srgbClr val="53565A"/>
      </a:solidFill>
    </a:ln>
  </c:spPr>
  <c:printSettings>
    <c:headerFooter alignWithMargins="0"/>
    <c:pageMargins b="0.5" l="0.25" r="0.25" t="0.5" header="0.3" footer="0.3"/>
    <c:pageSetup orientation="landscape"/>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34"/>
    </mc:Choice>
    <mc:Fallback>
      <c:style val="34"/>
    </mc:Fallback>
  </mc:AlternateContent>
  <c:clrMapOvr bg1="lt1" tx1="dk1" bg2="lt2" tx2="dk2" accent1="accent1" accent2="accent2" accent3="accent3" accent4="accent4" accent5="accent5" accent6="accent6" hlink="hlink" folHlink="folHlink"/>
  <c:chart>
    <c:title>
      <c:tx>
        <c:rich>
          <a:bodyPr/>
          <a:lstStyle/>
          <a:p>
            <a:pPr algn="ctr" rtl="0">
              <a:defRPr lang="en-US" sz="1400" b="0" i="0" u="none" strike="noStrike" kern="1200" baseline="0">
                <a:solidFill>
                  <a:srgbClr val="00B796"/>
                </a:solidFill>
                <a:latin typeface="Open Sans Semibold" panose="020B0706030804020204" pitchFamily="34" charset="0"/>
                <a:ea typeface="Open Sans Semibold" panose="020B0706030804020204" pitchFamily="34" charset="0"/>
                <a:cs typeface="Open Sans Semibold" panose="020B0706030804020204" pitchFamily="34" charset="0"/>
              </a:defRPr>
            </a:pPr>
            <a:r>
              <a:rPr lang="en-US" sz="1400" b="0" i="0" u="none" strike="noStrike" kern="1200" baseline="0">
                <a:solidFill>
                  <a:srgbClr val="00B796"/>
                </a:solidFill>
                <a:latin typeface="Arial" panose="020B0604020202020204" pitchFamily="34" charset="0"/>
                <a:ea typeface="Open Sans Semibold" panose="020B0706030804020204" pitchFamily="34" charset="0"/>
                <a:cs typeface="Arial" panose="020B0604020202020204" pitchFamily="34" charset="0"/>
              </a:rPr>
              <a:t>Summary of Supplemental General Expenditures by Function</a:t>
            </a:r>
          </a:p>
        </c:rich>
      </c:tx>
      <c:overlay val="0"/>
    </c:title>
    <c:autoTitleDeleted val="0"/>
    <c:view3D>
      <c:rotX val="15"/>
      <c:rotY val="20"/>
      <c:depthPercent val="100"/>
      <c:rAngAx val="1"/>
    </c:view3D>
    <c:floor>
      <c:thickness val="0"/>
      <c:spPr>
        <a:gradFill flip="none" rotWithShape="1">
          <a:gsLst>
            <a:gs pos="0">
              <a:srgbClr val="12284C">
                <a:lumMod val="5000"/>
                <a:lumOff val="95000"/>
              </a:srgbClr>
            </a:gs>
            <a:gs pos="74000">
              <a:srgbClr val="12284C">
                <a:lumMod val="45000"/>
                <a:lumOff val="55000"/>
              </a:srgbClr>
            </a:gs>
            <a:gs pos="83000">
              <a:srgbClr val="12284C">
                <a:lumMod val="45000"/>
                <a:lumOff val="55000"/>
              </a:srgbClr>
            </a:gs>
            <a:gs pos="100000">
              <a:srgbClr val="12284C">
                <a:lumMod val="30000"/>
                <a:lumOff val="70000"/>
              </a:srgbClr>
            </a:gs>
          </a:gsLst>
          <a:path path="circle">
            <a:fillToRect l="100000" t="100000"/>
          </a:path>
          <a:tileRect r="-100000" b="-100000"/>
        </a:gradFill>
        <a:ln>
          <a:solidFill>
            <a:srgbClr val="12284C"/>
          </a:solidFill>
        </a:ln>
      </c:spPr>
    </c:floor>
    <c:sideWall>
      <c:thickness val="0"/>
      <c:spPr>
        <a:gradFill flip="none" rotWithShape="1">
          <a:gsLst>
            <a:gs pos="0">
              <a:srgbClr val="12284C">
                <a:lumMod val="5000"/>
                <a:lumOff val="95000"/>
              </a:srgbClr>
            </a:gs>
            <a:gs pos="74000">
              <a:srgbClr val="12284C">
                <a:lumMod val="45000"/>
                <a:lumOff val="55000"/>
              </a:srgbClr>
            </a:gs>
            <a:gs pos="83000">
              <a:srgbClr val="12284C">
                <a:lumMod val="45000"/>
                <a:lumOff val="55000"/>
              </a:srgbClr>
            </a:gs>
            <a:gs pos="100000">
              <a:srgbClr val="12284C">
                <a:lumMod val="30000"/>
                <a:lumOff val="70000"/>
              </a:srgbClr>
            </a:gs>
          </a:gsLst>
          <a:path path="circle">
            <a:fillToRect l="100000" t="100000"/>
          </a:path>
          <a:tileRect r="-100000" b="-100000"/>
        </a:gradFill>
        <a:ln>
          <a:solidFill>
            <a:srgbClr val="12284C"/>
          </a:solidFill>
        </a:ln>
      </c:spPr>
    </c:sideWall>
    <c:backWall>
      <c:thickness val="0"/>
      <c:spPr>
        <a:gradFill flip="none" rotWithShape="1">
          <a:gsLst>
            <a:gs pos="0">
              <a:srgbClr val="12284C">
                <a:lumMod val="5000"/>
                <a:lumOff val="95000"/>
              </a:srgbClr>
            </a:gs>
            <a:gs pos="74000">
              <a:srgbClr val="12284C">
                <a:lumMod val="45000"/>
                <a:lumOff val="55000"/>
              </a:srgbClr>
            </a:gs>
            <a:gs pos="83000">
              <a:srgbClr val="12284C">
                <a:lumMod val="45000"/>
                <a:lumOff val="55000"/>
              </a:srgbClr>
            </a:gs>
            <a:gs pos="100000">
              <a:srgbClr val="12284C">
                <a:lumMod val="30000"/>
                <a:lumOff val="70000"/>
              </a:srgbClr>
            </a:gs>
          </a:gsLst>
          <a:path path="circle">
            <a:fillToRect l="100000" t="100000"/>
          </a:path>
          <a:tileRect r="-100000" b="-100000"/>
        </a:gradFill>
        <a:ln>
          <a:solidFill>
            <a:srgbClr val="12284C"/>
          </a:solidFill>
        </a:ln>
      </c:spPr>
    </c:backWall>
    <c:plotArea>
      <c:layout>
        <c:manualLayout>
          <c:layoutTarget val="inner"/>
          <c:xMode val="edge"/>
          <c:yMode val="edge"/>
          <c:x val="7.2835093206127563E-2"/>
          <c:y val="0.14630094898550208"/>
          <c:w val="0.82797458008469327"/>
          <c:h val="0.62590186348825383"/>
        </c:manualLayout>
      </c:layout>
      <c:bar3DChart>
        <c:barDir val="col"/>
        <c:grouping val="clustered"/>
        <c:varyColors val="0"/>
        <c:ser>
          <c:idx val="0"/>
          <c:order val="0"/>
          <c:tx>
            <c:strRef>
              <c:f>SUMEXPEN!$P$149</c:f>
              <c:strCache>
                <c:ptCount val="1"/>
                <c:pt idx="0">
                  <c:v>2023-2024</c:v>
                </c:pt>
              </c:strCache>
            </c:strRef>
          </c:tx>
          <c:spPr>
            <a:solidFill>
              <a:srgbClr val="FFA400"/>
            </a:solidFill>
            <a:ln>
              <a:solidFill>
                <a:srgbClr val="D28700"/>
              </a:solidFill>
            </a:ln>
          </c:spPr>
          <c:invertIfNegative val="0"/>
          <c:dLbls>
            <c:dLbl>
              <c:idx val="0"/>
              <c:layout>
                <c:manualLayout>
                  <c:x val="-2.7293364173900086E-3"/>
                  <c:y val="-8.1510395156591517E-2"/>
                </c:manualLayout>
              </c:layout>
              <c:spPr>
                <a:noFill/>
                <a:ln>
                  <a:noFill/>
                </a:ln>
                <a:effectLst/>
              </c:spPr>
              <c:txPr>
                <a:bodyPr rot="-5400000" vertOverflow="clip" horzOverflow="clip" vert="horz" wrap="square" lIns="0" tIns="0" rIns="0" bIns="0" numCol="1" spcCol="0" anchor="ctr" anchorCtr="0">
                  <a:noAutofit/>
                </a:bodyPr>
                <a:lstStyle/>
                <a:p>
                  <a:pPr algn="l">
                    <a:defRPr sz="900">
                      <a:latin typeface="Arial" panose="020B0604020202020204" pitchFamily="34" charset="0"/>
                      <a:ea typeface="Open Sans Light" panose="020B0306030504020204" pitchFamily="34" charset="0"/>
                      <a:cs typeface="Arial" panose="020B0604020202020204" pitchFamily="34" charset="0"/>
                    </a:defRPr>
                  </a:pPr>
                  <a:endParaRPr lang="en-US"/>
                </a:p>
              </c:txPr>
              <c:showLegendKey val="0"/>
              <c:showVal val="1"/>
              <c:showCatName val="0"/>
              <c:showSerName val="0"/>
              <c:showPercent val="0"/>
              <c:showBubbleSize val="0"/>
              <c:extLst>
                <c:ext xmlns:c15="http://schemas.microsoft.com/office/drawing/2012/chart" uri="{CE6537A1-D6FC-4f65-9D91-7224C49458BB}">
                  <c15:layout>
                    <c:manualLayout>
                      <c:w val="8.2231374097685078E-2"/>
                      <c:h val="6.763604785366191E-2"/>
                    </c:manualLayout>
                  </c15:layout>
                </c:ext>
                <c:ext xmlns:c16="http://schemas.microsoft.com/office/drawing/2014/chart" uri="{C3380CC4-5D6E-409C-BE32-E72D297353CC}">
                  <c16:uniqueId val="{00000000-8A83-4DA7-9913-C7DA935F625B}"/>
                </c:ext>
              </c:extLst>
            </c:dLbl>
            <c:dLbl>
              <c:idx val="3"/>
              <c:layout>
                <c:manualLayout>
                  <c:x val="-2.7371352903855927E-3"/>
                  <c:y val="-6.032917190144333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5A0A-4CE5-9F93-C25C59C5C89F}"/>
                </c:ext>
              </c:extLst>
            </c:dLbl>
            <c:dLbl>
              <c:idx val="4"/>
              <c:layout>
                <c:manualLayout>
                  <c:x val="0"/>
                  <c:y val="1.5881797078166677E-5"/>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5A0A-4CE5-9F93-C25C59C5C89F}"/>
                </c:ext>
              </c:extLst>
            </c:dLbl>
            <c:dLbl>
              <c:idx val="5"/>
              <c:layout>
                <c:manualLayout>
                  <c:x val="-2.0849951429090419E-5"/>
                  <c:y val="-4.322736404760592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A0A-4CE5-9F93-C25C59C5C89F}"/>
                </c:ext>
              </c:extLst>
            </c:dLbl>
            <c:spPr>
              <a:noFill/>
              <a:ln>
                <a:noFill/>
              </a:ln>
              <a:effectLst/>
            </c:spPr>
            <c:txPr>
              <a:bodyPr rot="-5400000" vertOverflow="clip" horzOverflow="clip" vert="horz" wrap="square" lIns="0" tIns="0" rIns="0" bIns="0" numCol="1" spcCol="0" anchor="ctr" anchorCtr="0">
                <a:spAutoFit/>
              </a:bodyPr>
              <a:lstStyle/>
              <a:p>
                <a:pPr algn="l">
                  <a:defRPr sz="900">
                    <a:latin typeface="Arial" panose="020B0604020202020204" pitchFamily="34" charset="0"/>
                    <a:ea typeface="Open Sans Light" panose="020B0306030504020204" pitchFamily="34" charset="0"/>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cat>
            <c:strRef>
              <c:f>(SUMEXPEN!$O$150:$O$155,SUMEXPEN!$O$157)</c:f>
              <c:strCache>
                <c:ptCount val="6"/>
                <c:pt idx="0">
                  <c:v>Instruction</c:v>
                </c:pt>
                <c:pt idx="1">
                  <c:v>Student Support</c:v>
                </c:pt>
                <c:pt idx="2">
                  <c:v>Instructional Support</c:v>
                </c:pt>
                <c:pt idx="3">
                  <c:v>Administration &amp; Support</c:v>
                </c:pt>
                <c:pt idx="4">
                  <c:v>Operations &amp; Maintenance</c:v>
                </c:pt>
                <c:pt idx="5">
                  <c:v>Transportation</c:v>
                </c:pt>
              </c:strCache>
            </c:strRef>
          </c:cat>
          <c:val>
            <c:numRef>
              <c:f>(SUMEXPEN!$P$150:$P$155,SUMEXPEN!$P$157)</c:f>
              <c:numCache>
                <c:formatCode>"$"#,##0</c:formatCode>
                <c:ptCount val="7"/>
                <c:pt idx="0">
                  <c:v>66546</c:v>
                </c:pt>
                <c:pt idx="1">
                  <c:v>2063</c:v>
                </c:pt>
                <c:pt idx="2">
                  <c:v>0</c:v>
                </c:pt>
                <c:pt idx="3">
                  <c:v>42428</c:v>
                </c:pt>
                <c:pt idx="4">
                  <c:v>241300</c:v>
                </c:pt>
                <c:pt idx="5">
                  <c:v>37624</c:v>
                </c:pt>
                <c:pt idx="6">
                  <c:v>#N/A</c:v>
                </c:pt>
              </c:numCache>
            </c:numRef>
          </c:val>
          <c:extLst>
            <c:ext xmlns:c16="http://schemas.microsoft.com/office/drawing/2014/chart" uri="{C3380CC4-5D6E-409C-BE32-E72D297353CC}">
              <c16:uniqueId val="{00000000-03ED-42F9-B639-8C83BB0EB494}"/>
            </c:ext>
          </c:extLst>
        </c:ser>
        <c:ser>
          <c:idx val="1"/>
          <c:order val="1"/>
          <c:tx>
            <c:strRef>
              <c:f>SUMEXPEN!$Q$149</c:f>
              <c:strCache>
                <c:ptCount val="1"/>
                <c:pt idx="0">
                  <c:v>2024-2025</c:v>
                </c:pt>
              </c:strCache>
            </c:strRef>
          </c:tx>
          <c:spPr>
            <a:solidFill>
              <a:srgbClr val="D50032"/>
            </a:solidFill>
            <a:ln>
              <a:solidFill>
                <a:srgbClr val="B7312C"/>
              </a:solidFill>
            </a:ln>
          </c:spPr>
          <c:invertIfNegative val="0"/>
          <c:dLbls>
            <c:dLbl>
              <c:idx val="0"/>
              <c:layout>
                <c:manualLayout>
                  <c:x val="5.3729210153746133E-8"/>
                  <c:y val="-9.2142185829190371E-2"/>
                </c:manualLayout>
              </c:layout>
              <c:spPr>
                <a:noFill/>
                <a:ln>
                  <a:noFill/>
                </a:ln>
                <a:effectLst/>
              </c:spPr>
              <c:txPr>
                <a:bodyPr rot="-5400000" vertOverflow="clip" horzOverflow="clip" vert="horz" wrap="square" lIns="38100" tIns="19050" rIns="38100" bIns="19050" anchor="ctr" anchorCtr="0">
                  <a:noAutofit/>
                </a:bodyPr>
                <a:lstStyle/>
                <a:p>
                  <a:pPr algn="l">
                    <a:defRPr sz="900">
                      <a:latin typeface="Arial" panose="020B0604020202020204" pitchFamily="34" charset="0"/>
                      <a:ea typeface="Open Sans Light" panose="020B0306030504020204" pitchFamily="34" charset="0"/>
                      <a:cs typeface="Arial" panose="020B0604020202020204" pitchFamily="34" charset="0"/>
                    </a:defRPr>
                  </a:pPr>
                  <a:endParaRPr lang="en-US"/>
                </a:p>
              </c:txPr>
              <c:showLegendKey val="0"/>
              <c:showVal val="1"/>
              <c:showCatName val="0"/>
              <c:showSerName val="0"/>
              <c:showPercent val="0"/>
              <c:showBubbleSize val="0"/>
              <c:extLst>
                <c:ext xmlns:c15="http://schemas.microsoft.com/office/drawing/2012/chart" uri="{CE6537A1-D6FC-4f65-9D91-7224C49458BB}">
                  <c15:layout>
                    <c:manualLayout>
                      <c:w val="9.3149149600926281E-2"/>
                      <c:h val="5.346032695686339E-2"/>
                    </c:manualLayout>
                  </c15:layout>
                </c:ext>
                <c:ext xmlns:c16="http://schemas.microsoft.com/office/drawing/2014/chart" uri="{C3380CC4-5D6E-409C-BE32-E72D297353CC}">
                  <c16:uniqueId val="{00000001-8A83-4DA7-9913-C7DA935F625B}"/>
                </c:ext>
              </c:extLst>
            </c:dLbl>
            <c:dLbl>
              <c:idx val="3"/>
              <c:layout>
                <c:manualLayout>
                  <c:x val="0"/>
                  <c:y val="4.9086784636334516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5A0A-4CE5-9F93-C25C59C5C89F}"/>
                </c:ext>
              </c:extLst>
            </c:dLbl>
            <c:dLbl>
              <c:idx val="4"/>
              <c:layout>
                <c:manualLayout>
                  <c:x val="2.6746907388833165E-3"/>
                  <c:y val="-9.516565315935867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A0A-4CE5-9F93-C25C59C5C89F}"/>
                </c:ext>
              </c:extLst>
            </c:dLbl>
            <c:dLbl>
              <c:idx val="5"/>
              <c:layout>
                <c:manualLayout>
                  <c:x val="0"/>
                  <c:y val="-7.7604235723407436E-4"/>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A0A-4CE5-9F93-C25C59C5C89F}"/>
                </c:ext>
              </c:extLst>
            </c:dLbl>
            <c:spPr>
              <a:noFill/>
              <a:ln>
                <a:noFill/>
              </a:ln>
              <a:effectLst/>
            </c:spPr>
            <c:txPr>
              <a:bodyPr rot="-5400000" vertOverflow="clip" horzOverflow="clip" vert="horz" wrap="square" lIns="38100" tIns="19050" rIns="38100" bIns="19050" anchor="ctr" anchorCtr="0">
                <a:spAutoFit/>
              </a:bodyPr>
              <a:lstStyle/>
              <a:p>
                <a:pPr algn="l">
                  <a:defRPr sz="900">
                    <a:latin typeface="Arial" panose="020B0604020202020204" pitchFamily="34" charset="0"/>
                    <a:ea typeface="Open Sans Light" panose="020B0306030504020204" pitchFamily="34" charset="0"/>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(SUMEXPEN!$O$150:$O$155,SUMEXPEN!$O$157)</c:f>
              <c:strCache>
                <c:ptCount val="6"/>
                <c:pt idx="0">
                  <c:v>Instruction</c:v>
                </c:pt>
                <c:pt idx="1">
                  <c:v>Student Support</c:v>
                </c:pt>
                <c:pt idx="2">
                  <c:v>Instructional Support</c:v>
                </c:pt>
                <c:pt idx="3">
                  <c:v>Administration &amp; Support</c:v>
                </c:pt>
                <c:pt idx="4">
                  <c:v>Operations &amp; Maintenance</c:v>
                </c:pt>
                <c:pt idx="5">
                  <c:v>Transportation</c:v>
                </c:pt>
              </c:strCache>
            </c:strRef>
          </c:cat>
          <c:val>
            <c:numRef>
              <c:f>(SUMEXPEN!$Q$150:$Q$155,SUMEXPEN!$Q$157)</c:f>
              <c:numCache>
                <c:formatCode>"$"#,##0</c:formatCode>
                <c:ptCount val="7"/>
                <c:pt idx="0">
                  <c:v>0</c:v>
                </c:pt>
                <c:pt idx="1">
                  <c:v>0</c:v>
                </c:pt>
                <c:pt idx="2">
                  <c:v>195</c:v>
                </c:pt>
                <c:pt idx="3">
                  <c:v>65094</c:v>
                </c:pt>
                <c:pt idx="4">
                  <c:v>193424</c:v>
                </c:pt>
                <c:pt idx="5">
                  <c:v>48200</c:v>
                </c:pt>
                <c:pt idx="6">
                  <c:v>#N/A</c:v>
                </c:pt>
              </c:numCache>
            </c:numRef>
          </c:val>
          <c:extLst>
            <c:ext xmlns:c16="http://schemas.microsoft.com/office/drawing/2014/chart" uri="{C3380CC4-5D6E-409C-BE32-E72D297353CC}">
              <c16:uniqueId val="{00000001-03ED-42F9-B639-8C83BB0EB494}"/>
            </c:ext>
          </c:extLst>
        </c:ser>
        <c:ser>
          <c:idx val="2"/>
          <c:order val="2"/>
          <c:tx>
            <c:strRef>
              <c:f>SUMEXPEN!$R$149</c:f>
              <c:strCache>
                <c:ptCount val="1"/>
                <c:pt idx="0">
                  <c:v>2025-2026</c:v>
                </c:pt>
              </c:strCache>
            </c:strRef>
          </c:tx>
          <c:spPr>
            <a:solidFill>
              <a:srgbClr val="00B796"/>
            </a:solidFill>
            <a:ln>
              <a:solidFill>
                <a:srgbClr val="008269"/>
              </a:solidFill>
            </a:ln>
          </c:spPr>
          <c:invertIfNegative val="0"/>
          <c:dLbls>
            <c:dLbl>
              <c:idx val="0"/>
              <c:layout>
                <c:manualLayout>
                  <c:x val="3.7037698779965739E-3"/>
                  <c:y val="2.9239458119876848E-3"/>
                </c:manualLayout>
              </c:layout>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2-3542-4363-8AC6-8E590374E724}"/>
                </c:ext>
              </c:extLst>
            </c:dLbl>
            <c:dLbl>
              <c:idx val="1"/>
              <c:layout>
                <c:manualLayout>
                  <c:x val="3.843501944714554E-3"/>
                  <c:y val="2.1330480127978724E-3"/>
                </c:manualLayout>
              </c:layout>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0-A29D-4297-829F-F2A4BB1D8268}"/>
                </c:ext>
              </c:extLst>
            </c:dLbl>
            <c:dLbl>
              <c:idx val="2"/>
              <c:layout>
                <c:manualLayout>
                  <c:x val="5.6487475897410164E-3"/>
                  <c:y val="-5.7825192695241242E-3"/>
                </c:manualLayout>
              </c:layout>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1-A29D-4297-829F-F2A4BB1D8268}"/>
                </c:ext>
              </c:extLst>
            </c:dLbl>
            <c:dLbl>
              <c:idx val="3"/>
              <c:layout>
                <c:manualLayout>
                  <c:x val="1.0597672281937676E-3"/>
                  <c:y val="-7.0741374319278506E-3"/>
                </c:manualLayout>
              </c:layout>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2-A29D-4297-829F-F2A4BB1D8268}"/>
                </c:ext>
              </c:extLst>
            </c:dLbl>
            <c:dLbl>
              <c:idx val="4"/>
              <c:layout>
                <c:manualLayout>
                  <c:x val="3.3484179572839251E-3"/>
                  <c:y val="-1.3983200427557229E-2"/>
                </c:manualLayout>
              </c:layout>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3-A29D-4297-829F-F2A4BB1D8268}"/>
                </c:ext>
              </c:extLst>
            </c:dLbl>
            <c:dLbl>
              <c:idx val="5"/>
              <c:layout>
                <c:manualLayout>
                  <c:x val="5.6420179172687688E-3"/>
                  <c:y val="1.1565076505744759E-2"/>
                </c:manualLayout>
              </c:layout>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4-A29D-4297-829F-F2A4BB1D8268}"/>
                </c:ext>
              </c:extLst>
            </c:dLbl>
            <c:dLbl>
              <c:idx val="6"/>
              <c:layout>
                <c:manualLayout>
                  <c:x val="5.6487475897408794E-3"/>
                  <c:y val="-5.7825192695241242E-3"/>
                </c:manualLayout>
              </c:layout>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5-A29D-4297-829F-F2A4BB1D8268}"/>
                </c:ext>
              </c:extLst>
            </c:dLbl>
            <c:dLbl>
              <c:idx val="7"/>
              <c:layout>
                <c:manualLayout>
                  <c:x val="3.1199477752077306E-3"/>
                  <c:y val="-9.0172095484084124E-3"/>
                </c:manualLayout>
              </c:layout>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6-A29D-4297-829F-F2A4BB1D8268}"/>
                </c:ext>
              </c:extLst>
            </c:dLbl>
            <c:dLbl>
              <c:idx val="8"/>
              <c:layout>
                <c:manualLayout>
                  <c:x val="4.8750661540899014E-3"/>
                  <c:y val="-8.4211595516453883E-3"/>
                </c:manualLayout>
              </c:layout>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7-A29D-4297-829F-F2A4BB1D8268}"/>
                </c:ext>
              </c:extLst>
            </c:dLbl>
            <c:spPr>
              <a:noFill/>
              <a:ln>
                <a:noFill/>
              </a:ln>
              <a:effectLst/>
            </c:spPr>
            <c:txPr>
              <a:bodyPr rot="-5400000" vertOverflow="clip" horzOverflow="clip" vert="horz" wrap="square" lIns="38100" tIns="19050" rIns="38100" bIns="19050" anchor="ctr" anchorCtr="0">
                <a:spAutoFit/>
              </a:bodyPr>
              <a:lstStyle/>
              <a:p>
                <a:pPr algn="l">
                  <a:defRPr sz="900">
                    <a:latin typeface="Arial" panose="020B0604020202020204" pitchFamily="34" charset="0"/>
                    <a:ea typeface="Open Sans Light" panose="020B0306030504020204" pitchFamily="34" charset="0"/>
                    <a:cs typeface="Arial" panose="020B0604020202020204" pitchFamily="34" charset="0"/>
                  </a:defRPr>
                </a:pPr>
                <a:endParaRPr lang="en-US"/>
              </a:p>
            </c:txPr>
            <c:showLegendKey val="0"/>
            <c:showVal val="1"/>
            <c:showCatName val="0"/>
            <c:showSerName val="0"/>
            <c:showPercent val="0"/>
            <c:showBubbleSize val="0"/>
            <c:separator> </c:separator>
            <c:showLeaderLines val="0"/>
            <c:extLst>
              <c:ext xmlns:c15="http://schemas.microsoft.com/office/drawing/2012/chart" uri="{CE6537A1-D6FC-4f65-9D91-7224C49458BB}">
                <c15:showLeaderLines val="0"/>
              </c:ext>
            </c:extLst>
          </c:dLbls>
          <c:cat>
            <c:strRef>
              <c:f>(SUMEXPEN!$O$150:$O$155,SUMEXPEN!$O$157)</c:f>
              <c:strCache>
                <c:ptCount val="6"/>
                <c:pt idx="0">
                  <c:v>Instruction</c:v>
                </c:pt>
                <c:pt idx="1">
                  <c:v>Student Support</c:v>
                </c:pt>
                <c:pt idx="2">
                  <c:v>Instructional Support</c:v>
                </c:pt>
                <c:pt idx="3">
                  <c:v>Administration &amp; Support</c:v>
                </c:pt>
                <c:pt idx="4">
                  <c:v>Operations &amp; Maintenance</c:v>
                </c:pt>
                <c:pt idx="5">
                  <c:v>Transportation</c:v>
                </c:pt>
              </c:strCache>
            </c:strRef>
          </c:cat>
          <c:val>
            <c:numRef>
              <c:f>(SUMEXPEN!$R$150:$R$155,SUMEXPEN!$R$157)</c:f>
              <c:numCache>
                <c:formatCode>"$"#,##0</c:formatCode>
                <c:ptCount val="7"/>
                <c:pt idx="0">
                  <c:v>13883</c:v>
                </c:pt>
                <c:pt idx="1">
                  <c:v>0</c:v>
                </c:pt>
                <c:pt idx="2">
                  <c:v>100</c:v>
                </c:pt>
                <c:pt idx="3">
                  <c:v>31150</c:v>
                </c:pt>
                <c:pt idx="4">
                  <c:v>264342</c:v>
                </c:pt>
                <c:pt idx="5">
                  <c:v>44099</c:v>
                </c:pt>
                <c:pt idx="6">
                  <c:v>#N/A</c:v>
                </c:pt>
              </c:numCache>
            </c:numRef>
          </c:val>
          <c:extLst>
            <c:ext xmlns:c16="http://schemas.microsoft.com/office/drawing/2014/chart" uri="{C3380CC4-5D6E-409C-BE32-E72D297353CC}">
              <c16:uniqueId val="{00000002-03ED-42F9-B639-8C83BB0EB494}"/>
            </c:ext>
          </c:extLst>
        </c:ser>
        <c:dLbls>
          <c:showLegendKey val="0"/>
          <c:showVal val="1"/>
          <c:showCatName val="0"/>
          <c:showSerName val="0"/>
          <c:showPercent val="0"/>
          <c:showBubbleSize val="0"/>
        </c:dLbls>
        <c:gapWidth val="150"/>
        <c:shape val="box"/>
        <c:axId val="128185088"/>
        <c:axId val="128186624"/>
        <c:axId val="0"/>
      </c:bar3DChart>
      <c:catAx>
        <c:axId val="128185088"/>
        <c:scaling>
          <c:orientation val="minMax"/>
        </c:scaling>
        <c:delete val="0"/>
        <c:axPos val="b"/>
        <c:numFmt formatCode="General" sourceLinked="1"/>
        <c:majorTickMark val="none"/>
        <c:minorTickMark val="none"/>
        <c:tickLblPos val="nextTo"/>
        <c:spPr>
          <a:noFill/>
        </c:spPr>
        <c:txPr>
          <a:bodyPr rot="0" anchor="t" anchorCtr="0"/>
          <a:lstStyle/>
          <a:p>
            <a:pPr>
              <a:defRPr sz="900" b="0" baseline="0">
                <a:solidFill>
                  <a:sysClr val="windowText" lastClr="000000"/>
                </a:solidFill>
                <a:latin typeface="Arial" panose="020B0604020202020204" pitchFamily="34" charset="0"/>
                <a:ea typeface="Open Sans" panose="020B0606030504020204" pitchFamily="34" charset="0"/>
                <a:cs typeface="Arial" panose="020B0604020202020204" pitchFamily="34" charset="0"/>
              </a:defRPr>
            </a:pPr>
            <a:endParaRPr lang="en-US"/>
          </a:p>
        </c:txPr>
        <c:crossAx val="128186624"/>
        <c:crosses val="autoZero"/>
        <c:auto val="1"/>
        <c:lblAlgn val="ctr"/>
        <c:lblOffset val="100"/>
        <c:noMultiLvlLbl val="0"/>
      </c:catAx>
      <c:valAx>
        <c:axId val="128186624"/>
        <c:scaling>
          <c:orientation val="minMax"/>
        </c:scaling>
        <c:delete val="0"/>
        <c:axPos val="l"/>
        <c:majorGridlines>
          <c:spPr>
            <a:ln>
              <a:solidFill>
                <a:srgbClr val="53565A"/>
              </a:solidFill>
            </a:ln>
          </c:spPr>
        </c:majorGridlines>
        <c:numFmt formatCode="&quot;$&quot;#,##0" sourceLinked="1"/>
        <c:majorTickMark val="none"/>
        <c:minorTickMark val="none"/>
        <c:tickLblPos val="nextTo"/>
        <c:spPr>
          <a:ln>
            <a:solidFill>
              <a:srgbClr val="53565A"/>
            </a:solidFill>
          </a:ln>
        </c:spPr>
        <c:txPr>
          <a:bodyPr/>
          <a:lstStyle/>
          <a:p>
            <a:pPr>
              <a:defRPr sz="900" baseline="0">
                <a:latin typeface="Arial" panose="020B0604020202020204" pitchFamily="34" charset="0"/>
                <a:ea typeface="Open Sans" panose="020B0606030504020204" pitchFamily="34" charset="0"/>
                <a:cs typeface="Arial" panose="020B0604020202020204" pitchFamily="34" charset="0"/>
              </a:defRPr>
            </a:pPr>
            <a:endParaRPr lang="en-US"/>
          </a:p>
        </c:txPr>
        <c:crossAx val="128185088"/>
        <c:crosses val="autoZero"/>
        <c:crossBetween val="between"/>
      </c:valAx>
      <c:spPr>
        <a:solidFill>
          <a:schemeClr val="bg1"/>
        </a:solidFill>
        <a:ln>
          <a:noFill/>
        </a:ln>
      </c:spPr>
    </c:plotArea>
    <c:legend>
      <c:legendPos val="r"/>
      <c:layout>
        <c:manualLayout>
          <c:xMode val="edge"/>
          <c:yMode val="edge"/>
          <c:x val="0.90137033578610548"/>
          <c:y val="0.79002084615966217"/>
          <c:w val="9.6564415929897771E-2"/>
          <c:h val="0.20905102180146556"/>
        </c:manualLayout>
      </c:layout>
      <c:overlay val="0"/>
      <c:txPr>
        <a:bodyPr/>
        <a:lstStyle/>
        <a:p>
          <a:pPr>
            <a:defRPr sz="900" b="0">
              <a:solidFill>
                <a:sysClr val="windowText" lastClr="000000"/>
              </a:solidFill>
              <a:latin typeface="Arial" panose="020B0604020202020204" pitchFamily="34" charset="0"/>
              <a:ea typeface="Open Sans" panose="020B0606030504020204" pitchFamily="34" charset="0"/>
              <a:cs typeface="Arial" panose="020B0604020202020204" pitchFamily="34" charset="0"/>
            </a:defRPr>
          </a:pPr>
          <a:endParaRPr lang="en-US"/>
        </a:p>
      </c:txPr>
    </c:legend>
    <c:plotVisOnly val="1"/>
    <c:dispBlanksAs val="gap"/>
    <c:showDLblsOverMax val="0"/>
  </c:chart>
  <c:spPr>
    <a:noFill/>
    <a:ln>
      <a:solidFill>
        <a:srgbClr val="53565A"/>
      </a:solidFill>
    </a:ln>
  </c:spPr>
  <c:printSettings>
    <c:headerFooter/>
    <c:pageMargins b="0.75" l="0.7" r="0.7" t="0.75" header="0.3" footer="0.3"/>
    <c:pageSetup orientation="portrait"/>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34"/>
    </mc:Choice>
    <mc:Fallback>
      <c:style val="34"/>
    </mc:Fallback>
  </mc:AlternateContent>
  <c:clrMapOvr bg1="lt1" tx1="dk1" bg2="lt2" tx2="dk2" accent1="accent1" accent2="accent2" accent3="accent3" accent4="accent4" accent5="accent5" accent6="accent6" hlink="hlink" folHlink="folHlink"/>
  <c:chart>
    <c:title>
      <c:tx>
        <c:rich>
          <a:bodyPr/>
          <a:lstStyle/>
          <a:p>
            <a:pPr algn="ctr" rtl="0">
              <a:defRPr lang="en-US" sz="1400" b="0" i="0" u="none" strike="noStrike" kern="1200" baseline="0">
                <a:solidFill>
                  <a:srgbClr val="00B796"/>
                </a:solidFill>
                <a:latin typeface="Open Sans Semibold" panose="020B0706030804020204" pitchFamily="34" charset="0"/>
                <a:ea typeface="Open Sans Semibold" panose="020B0706030804020204" pitchFamily="34" charset="0"/>
                <a:cs typeface="Open Sans Semibold" panose="020B0706030804020204" pitchFamily="34" charset="0"/>
              </a:defRPr>
            </a:pPr>
            <a:r>
              <a:rPr lang="en-US" sz="1400" b="0" i="0" u="none" strike="noStrike" kern="1200" baseline="0">
                <a:solidFill>
                  <a:srgbClr val="00B796"/>
                </a:solidFill>
                <a:latin typeface="Open Sans Semibold" panose="020B0706030804020204" pitchFamily="34" charset="0"/>
                <a:ea typeface="Open Sans Semibold" panose="020B0706030804020204" pitchFamily="34" charset="0"/>
                <a:cs typeface="Open Sans Semibold" panose="020B0706030804020204" pitchFamily="34" charset="0"/>
              </a:rPr>
              <a:t> </a:t>
            </a:r>
            <a:r>
              <a:rPr lang="en-US" sz="1400" b="0" i="0" u="none" strike="noStrike" kern="1200" baseline="0">
                <a:solidFill>
                  <a:srgbClr val="00B796"/>
                </a:solidFill>
                <a:latin typeface="Arial" panose="020B0604020202020204" pitchFamily="34" charset="0"/>
                <a:ea typeface="Open Sans Semibold" panose="020B0706030804020204" pitchFamily="34" charset="0"/>
                <a:cs typeface="Arial" panose="020B0604020202020204" pitchFamily="34" charset="0"/>
              </a:rPr>
              <a:t>Summary of Supplemental General Fund Expenditures </a:t>
            </a:r>
          </a:p>
          <a:p>
            <a:pPr algn="ctr" rtl="0">
              <a:defRPr lang="en-US" sz="1400" b="0" i="0" u="none" strike="noStrike" kern="1200" baseline="0">
                <a:solidFill>
                  <a:srgbClr val="00B796"/>
                </a:solidFill>
                <a:latin typeface="Open Sans Semibold" panose="020B0706030804020204" pitchFamily="34" charset="0"/>
                <a:ea typeface="Open Sans Semibold" panose="020B0706030804020204" pitchFamily="34" charset="0"/>
                <a:cs typeface="Open Sans Semibold" panose="020B0706030804020204" pitchFamily="34" charset="0"/>
              </a:defRPr>
            </a:pPr>
            <a:r>
              <a:rPr lang="en-US" sz="1400" b="0" i="0" u="none" strike="noStrike" kern="1200" baseline="0">
                <a:solidFill>
                  <a:srgbClr val="00B796"/>
                </a:solidFill>
                <a:latin typeface="Arial" panose="020B0604020202020204" pitchFamily="34" charset="0"/>
                <a:ea typeface="Open Sans Semibold" panose="020B0706030804020204" pitchFamily="34" charset="0"/>
                <a:cs typeface="Arial" panose="020B0604020202020204" pitchFamily="34" charset="0"/>
              </a:rPr>
              <a:t>by Function</a:t>
            </a:r>
          </a:p>
        </c:rich>
      </c:tx>
      <c:overlay val="0"/>
    </c:title>
    <c:autoTitleDeleted val="0"/>
    <c:view3D>
      <c:rotX val="30"/>
      <c:rotY val="0"/>
      <c:rAngAx val="1"/>
    </c:view3D>
    <c:floor>
      <c:thickness val="0"/>
    </c:floor>
    <c:sideWall>
      <c:thickness val="0"/>
    </c:sideWall>
    <c:backWall>
      <c:thickness val="0"/>
    </c:backWall>
    <c:plotArea>
      <c:layout>
        <c:manualLayout>
          <c:layoutTarget val="inner"/>
          <c:xMode val="edge"/>
          <c:yMode val="edge"/>
          <c:x val="1.3523198241645184E-3"/>
          <c:y val="0.29642762076836715"/>
          <c:w val="0.85295348660482029"/>
          <c:h val="0.58120675425486823"/>
        </c:manualLayout>
      </c:layout>
      <c:pie3DChart>
        <c:varyColors val="1"/>
        <c:ser>
          <c:idx val="0"/>
          <c:order val="0"/>
          <c:tx>
            <c:strRef>
              <c:f>SUMEXPEN!$P$173</c:f>
              <c:strCache>
                <c:ptCount val="1"/>
                <c:pt idx="0">
                  <c:v>2025-2026</c:v>
                </c:pt>
              </c:strCache>
            </c:strRef>
          </c:tx>
          <c:dPt>
            <c:idx val="0"/>
            <c:bubble3D val="0"/>
            <c:spPr>
              <a:solidFill>
                <a:srgbClr val="FFA400"/>
              </a:solidFill>
              <a:ln>
                <a:solidFill>
                  <a:srgbClr val="D28700"/>
                </a:solidFill>
              </a:ln>
            </c:spPr>
            <c:extLst>
              <c:ext xmlns:c16="http://schemas.microsoft.com/office/drawing/2014/chart" uri="{C3380CC4-5D6E-409C-BE32-E72D297353CC}">
                <c16:uniqueId val="{00000001-6F08-487A-9C7A-02880EE3903F}"/>
              </c:ext>
            </c:extLst>
          </c:dPt>
          <c:dPt>
            <c:idx val="1"/>
            <c:bubble3D val="0"/>
            <c:spPr>
              <a:solidFill>
                <a:srgbClr val="12284C"/>
              </a:solidFill>
              <a:ln>
                <a:solidFill>
                  <a:srgbClr val="005587"/>
                </a:solidFill>
              </a:ln>
            </c:spPr>
            <c:extLst>
              <c:ext xmlns:c16="http://schemas.microsoft.com/office/drawing/2014/chart" uri="{C3380CC4-5D6E-409C-BE32-E72D297353CC}">
                <c16:uniqueId val="{00000002-6F08-487A-9C7A-02880EE3903F}"/>
              </c:ext>
            </c:extLst>
          </c:dPt>
          <c:dPt>
            <c:idx val="2"/>
            <c:bubble3D val="0"/>
            <c:spPr>
              <a:solidFill>
                <a:srgbClr val="00B796"/>
              </a:solidFill>
              <a:ln>
                <a:solidFill>
                  <a:srgbClr val="008269"/>
                </a:solidFill>
              </a:ln>
            </c:spPr>
            <c:extLst>
              <c:ext xmlns:c16="http://schemas.microsoft.com/office/drawing/2014/chart" uri="{C3380CC4-5D6E-409C-BE32-E72D297353CC}">
                <c16:uniqueId val="{00000003-6F08-487A-9C7A-02880EE3903F}"/>
              </c:ext>
            </c:extLst>
          </c:dPt>
          <c:dPt>
            <c:idx val="3"/>
            <c:bubble3D val="0"/>
            <c:spPr>
              <a:solidFill>
                <a:srgbClr val="D50032"/>
              </a:solidFill>
              <a:ln>
                <a:solidFill>
                  <a:srgbClr val="B7312C"/>
                </a:solidFill>
              </a:ln>
            </c:spPr>
            <c:extLst>
              <c:ext xmlns:c16="http://schemas.microsoft.com/office/drawing/2014/chart" uri="{C3380CC4-5D6E-409C-BE32-E72D297353CC}">
                <c16:uniqueId val="{00000000-6F08-487A-9C7A-02880EE3903F}"/>
              </c:ext>
            </c:extLst>
          </c:dPt>
          <c:dPt>
            <c:idx val="4"/>
            <c:bubble3D val="0"/>
            <c:spPr>
              <a:solidFill>
                <a:srgbClr val="D28700"/>
              </a:solidFill>
              <a:ln>
                <a:solidFill>
                  <a:srgbClr val="FFA400"/>
                </a:solidFill>
              </a:ln>
            </c:spPr>
            <c:extLst>
              <c:ext xmlns:c16="http://schemas.microsoft.com/office/drawing/2014/chart" uri="{C3380CC4-5D6E-409C-BE32-E72D297353CC}">
                <c16:uniqueId val="{00000004-6F08-487A-9C7A-02880EE3903F}"/>
              </c:ext>
            </c:extLst>
          </c:dPt>
          <c:dPt>
            <c:idx val="5"/>
            <c:bubble3D val="0"/>
            <c:spPr>
              <a:solidFill>
                <a:srgbClr val="53565A"/>
              </a:solidFill>
              <a:ln>
                <a:solidFill>
                  <a:srgbClr val="C2C4C6"/>
                </a:solidFill>
              </a:ln>
            </c:spPr>
            <c:extLst>
              <c:ext xmlns:c16="http://schemas.microsoft.com/office/drawing/2014/chart" uri="{C3380CC4-5D6E-409C-BE32-E72D297353CC}">
                <c16:uniqueId val="{00000005-6F08-487A-9C7A-02880EE3903F}"/>
              </c:ext>
            </c:extLst>
          </c:dPt>
          <c:dPt>
            <c:idx val="6"/>
            <c:bubble3D val="0"/>
            <c:spPr>
              <a:solidFill>
                <a:srgbClr val="008269"/>
              </a:solidFill>
              <a:ln>
                <a:solidFill>
                  <a:srgbClr val="00B796"/>
                </a:solidFill>
              </a:ln>
            </c:spPr>
            <c:extLst>
              <c:ext xmlns:c16="http://schemas.microsoft.com/office/drawing/2014/chart" uri="{C3380CC4-5D6E-409C-BE32-E72D297353CC}">
                <c16:uniqueId val="{00000006-6F08-487A-9C7A-02880EE3903F}"/>
              </c:ext>
            </c:extLst>
          </c:dPt>
          <c:dPt>
            <c:idx val="7"/>
            <c:bubble3D val="0"/>
            <c:spPr>
              <a:solidFill>
                <a:srgbClr val="D28700"/>
              </a:solidFill>
              <a:ln>
                <a:solidFill>
                  <a:sysClr val="windowText" lastClr="000000"/>
                </a:solidFill>
              </a:ln>
            </c:spPr>
            <c:extLst>
              <c:ext xmlns:c16="http://schemas.microsoft.com/office/drawing/2014/chart" uri="{C3380CC4-5D6E-409C-BE32-E72D297353CC}">
                <c16:uniqueId val="{00000007-6F08-487A-9C7A-02880EE3903F}"/>
              </c:ext>
            </c:extLst>
          </c:dPt>
          <c:dPt>
            <c:idx val="8"/>
            <c:bubble3D val="0"/>
            <c:spPr>
              <a:solidFill>
                <a:srgbClr val="008269"/>
              </a:solidFill>
              <a:ln>
                <a:solidFill>
                  <a:sysClr val="windowText" lastClr="000000"/>
                </a:solidFill>
              </a:ln>
            </c:spPr>
            <c:extLst>
              <c:ext xmlns:c16="http://schemas.microsoft.com/office/drawing/2014/chart" uri="{C3380CC4-5D6E-409C-BE32-E72D297353CC}">
                <c16:uniqueId val="{0000000E-6CF0-484D-9AFC-2C5FE0CAB48D}"/>
              </c:ext>
            </c:extLst>
          </c:dPt>
          <c:dPt>
            <c:idx val="9"/>
            <c:bubble3D val="0"/>
            <c:spPr>
              <a:solidFill>
                <a:srgbClr val="C2C4C6"/>
              </a:solidFill>
              <a:ln>
                <a:solidFill>
                  <a:sysClr val="windowText" lastClr="000000"/>
                </a:solidFill>
              </a:ln>
            </c:spPr>
            <c:extLst>
              <c:ext xmlns:c16="http://schemas.microsoft.com/office/drawing/2014/chart" uri="{C3380CC4-5D6E-409C-BE32-E72D297353CC}">
                <c16:uniqueId val="{00000012-A327-4503-9607-4AB1FB504017}"/>
              </c:ext>
            </c:extLst>
          </c:dPt>
          <c:dPt>
            <c:idx val="10"/>
            <c:bubble3D val="0"/>
            <c:spPr>
              <a:solidFill>
                <a:srgbClr val="FFCE75"/>
              </a:solidFill>
              <a:ln>
                <a:solidFill>
                  <a:sysClr val="windowText" lastClr="000000"/>
                </a:solidFill>
              </a:ln>
            </c:spPr>
            <c:extLst>
              <c:ext xmlns:c16="http://schemas.microsoft.com/office/drawing/2014/chart" uri="{C3380CC4-5D6E-409C-BE32-E72D297353CC}">
                <c16:uniqueId val="{00000027-B5E0-4308-B498-E4E34FEF13DC}"/>
              </c:ext>
            </c:extLst>
          </c:dPt>
          <c:dPt>
            <c:idx val="11"/>
            <c:bubble3D val="0"/>
            <c:spPr>
              <a:solidFill>
                <a:srgbClr val="070F1B"/>
              </a:solidFill>
              <a:ln>
                <a:solidFill>
                  <a:sysClr val="windowText" lastClr="000000"/>
                </a:solidFill>
              </a:ln>
            </c:spPr>
            <c:extLst>
              <c:ext xmlns:c16="http://schemas.microsoft.com/office/drawing/2014/chart" uri="{C3380CC4-5D6E-409C-BE32-E72D297353CC}">
                <c16:uniqueId val="{00000028-B5E0-4308-B498-E4E34FEF13DC}"/>
              </c:ext>
            </c:extLst>
          </c:dPt>
          <c:dPt>
            <c:idx val="12"/>
            <c:bubble3D val="0"/>
            <c:spPr>
              <a:solidFill>
                <a:srgbClr val="7F241F"/>
              </a:solidFill>
              <a:ln>
                <a:solidFill>
                  <a:sysClr val="windowText" lastClr="000000"/>
                </a:solidFill>
              </a:ln>
            </c:spPr>
            <c:extLst>
              <c:ext xmlns:c16="http://schemas.microsoft.com/office/drawing/2014/chart" uri="{C3380CC4-5D6E-409C-BE32-E72D297353CC}">
                <c16:uniqueId val="{00000029-B5E0-4308-B498-E4E34FEF13DC}"/>
              </c:ext>
            </c:extLst>
          </c:dPt>
          <c:dPt>
            <c:idx val="13"/>
            <c:bubble3D val="0"/>
            <c:spPr>
              <a:solidFill>
                <a:srgbClr val="383A3C"/>
              </a:solidFill>
              <a:ln>
                <a:solidFill>
                  <a:sysClr val="windowText" lastClr="000000"/>
                </a:solidFill>
              </a:ln>
            </c:spPr>
            <c:extLst>
              <c:ext xmlns:c16="http://schemas.microsoft.com/office/drawing/2014/chart" uri="{C3380CC4-5D6E-409C-BE32-E72D297353CC}">
                <c16:uniqueId val="{0000002A-B5E0-4308-B498-E4E34FEF13DC}"/>
              </c:ext>
            </c:extLst>
          </c:dPt>
          <c:dLbls>
            <c:dLbl>
              <c:idx val="0"/>
              <c:layout>
                <c:manualLayout>
                  <c:x val="7.3779843150868663E-2"/>
                  <c:y val="-1.9798379916290718E-2"/>
                </c:manualLayout>
              </c:layout>
              <c:tx>
                <c:rich>
                  <a:bodyPr vertOverflow="overflow" horzOverflow="overflow" wrap="square" lIns="38100" tIns="19050" rIns="38100" bIns="19050" anchor="ctr">
                    <a:noAutofit/>
                  </a:bodyPr>
                  <a:lstStyle/>
                  <a:p>
                    <a:pPr>
                      <a:defRPr sz="900">
                        <a:solidFill>
                          <a:sysClr val="windowText" lastClr="000000"/>
                        </a:solidFill>
                        <a:latin typeface="Arial" panose="020B0604020202020204" pitchFamily="34" charset="0"/>
                        <a:ea typeface="Open Sans Light" panose="020B0306030504020204" pitchFamily="34" charset="0"/>
                        <a:cs typeface="Arial" panose="020B0604020202020204" pitchFamily="34" charset="0"/>
                      </a:defRPr>
                    </a:pPr>
                    <a:fld id="{CA48A8C5-2513-440C-B9AA-B28A088AEE51}" type="CELLRANGE">
                      <a:rPr lang="en-US" baseline="0"/>
                      <a:pPr>
                        <a:defRPr sz="900">
                          <a:solidFill>
                            <a:sysClr val="windowText" lastClr="000000"/>
                          </a:solidFill>
                          <a:latin typeface="Arial" panose="020B0604020202020204" pitchFamily="34" charset="0"/>
                          <a:ea typeface="Open Sans Light" panose="020B0306030504020204" pitchFamily="34" charset="0"/>
                          <a:cs typeface="Arial" panose="020B0604020202020204" pitchFamily="34" charset="0"/>
                        </a:defRPr>
                      </a:pPr>
                      <a:t>[CELLRANGE]</a:t>
                    </a:fld>
                    <a:r>
                      <a:rPr lang="en-US" baseline="0"/>
                      <a:t>
</a:t>
                    </a:r>
                    <a:fld id="{3109690C-522A-4EA0-BB87-2790870BAB12}" type="VALUE">
                      <a:rPr lang="en-US" baseline="0"/>
                      <a:pPr>
                        <a:defRPr sz="900">
                          <a:solidFill>
                            <a:sysClr val="windowText" lastClr="000000"/>
                          </a:solidFill>
                          <a:latin typeface="Arial" panose="020B0604020202020204" pitchFamily="34" charset="0"/>
                          <a:ea typeface="Open Sans Light" panose="020B0306030504020204" pitchFamily="34" charset="0"/>
                          <a:cs typeface="Arial" panose="020B0604020202020204" pitchFamily="34" charset="0"/>
                        </a:defRPr>
                      </a:pPr>
                      <a:t>[VALUE]</a:t>
                    </a:fld>
                    <a:endParaRPr lang="en-US" baseline="0"/>
                  </a:p>
                </c:rich>
              </c:tx>
              <c:spPr>
                <a:noFill/>
                <a:ln>
                  <a:noFill/>
                </a:ln>
                <a:effectLst/>
              </c:spPr>
              <c:showLegendKey val="0"/>
              <c:showVal val="1"/>
              <c:showCatName val="0"/>
              <c:showSerName val="0"/>
              <c:showPercent val="0"/>
              <c:showBubbleSize val="0"/>
              <c:separator>
</c:separator>
              <c:extLst>
                <c:ext xmlns:c15="http://schemas.microsoft.com/office/drawing/2012/chart" uri="{CE6537A1-D6FC-4f65-9D91-7224C49458BB}">
                  <c15:layout>
                    <c:manualLayout>
                      <c:w val="0.11623919755521539"/>
                      <c:h val="6.3341222145040857E-2"/>
                    </c:manualLayout>
                  </c15:layout>
                  <c15:dlblFieldTable/>
                  <c15:showDataLabelsRange val="1"/>
                </c:ext>
                <c:ext xmlns:c16="http://schemas.microsoft.com/office/drawing/2014/chart" uri="{C3380CC4-5D6E-409C-BE32-E72D297353CC}">
                  <c16:uniqueId val="{00000001-6F08-487A-9C7A-02880EE3903F}"/>
                </c:ext>
              </c:extLst>
            </c:dLbl>
            <c:dLbl>
              <c:idx val="1"/>
              <c:layout>
                <c:manualLayout>
                  <c:x val="-6.0141753322918851E-2"/>
                  <c:y val="-6.6678311839606541E-2"/>
                </c:manualLayout>
              </c:layout>
              <c:tx>
                <c:rich>
                  <a:bodyPr vertOverflow="overflow" horzOverflow="overflow" wrap="square" lIns="38100" tIns="19050" rIns="38100" bIns="19050" anchor="ctr">
                    <a:noAutofit/>
                  </a:bodyPr>
                  <a:lstStyle/>
                  <a:p>
                    <a:pPr>
                      <a:defRPr sz="900">
                        <a:solidFill>
                          <a:sysClr val="windowText" lastClr="000000"/>
                        </a:solidFill>
                        <a:latin typeface="Arial" panose="020B0604020202020204" pitchFamily="34" charset="0"/>
                        <a:ea typeface="Open Sans Light" panose="020B0306030504020204" pitchFamily="34" charset="0"/>
                        <a:cs typeface="Arial" panose="020B0604020202020204" pitchFamily="34" charset="0"/>
                      </a:defRPr>
                    </a:pPr>
                    <a:endParaRPr lang="en-US" baseline="0"/>
                  </a:p>
                </c:rich>
              </c:tx>
              <c:spPr>
                <a:noFill/>
                <a:ln>
                  <a:noFill/>
                </a:ln>
                <a:effectLst/>
              </c:spPr>
              <c:showLegendKey val="0"/>
              <c:showVal val="1"/>
              <c:showCatName val="0"/>
              <c:showSerName val="0"/>
              <c:showPercent val="0"/>
              <c:showBubbleSize val="0"/>
              <c:separator>
</c:separator>
              <c:extLst>
                <c:ext xmlns:c15="http://schemas.microsoft.com/office/drawing/2012/chart" uri="{CE6537A1-D6FC-4f65-9D91-7224C49458BB}">
                  <c15:layout>
                    <c:manualLayout>
                      <c:w val="0.16700729543075651"/>
                      <c:h val="6.6793993265736942E-2"/>
                    </c:manualLayout>
                  </c15:layout>
                  <c15:showDataLabelsRange val="0"/>
                </c:ext>
                <c:ext xmlns:c16="http://schemas.microsoft.com/office/drawing/2014/chart" uri="{C3380CC4-5D6E-409C-BE32-E72D297353CC}">
                  <c16:uniqueId val="{00000002-6F08-487A-9C7A-02880EE3903F}"/>
                </c:ext>
              </c:extLst>
            </c:dLbl>
            <c:dLbl>
              <c:idx val="2"/>
              <c:layout>
                <c:manualLayout>
                  <c:x val="-2.0129497840826009E-2"/>
                  <c:y val="-3.3936118296832324E-2"/>
                </c:manualLayout>
              </c:layout>
              <c:tx>
                <c:rich>
                  <a:bodyPr vertOverflow="overflow" horzOverflow="overflow" wrap="square" lIns="38100" tIns="19050" rIns="38100" bIns="19050" anchor="ctr">
                    <a:noAutofit/>
                  </a:bodyPr>
                  <a:lstStyle/>
                  <a:p>
                    <a:pPr>
                      <a:defRPr sz="900">
                        <a:solidFill>
                          <a:sysClr val="windowText" lastClr="000000"/>
                        </a:solidFill>
                        <a:latin typeface="Arial" panose="020B0604020202020204" pitchFamily="34" charset="0"/>
                        <a:ea typeface="Open Sans Light" panose="020B0306030504020204" pitchFamily="34" charset="0"/>
                        <a:cs typeface="Arial" panose="020B0604020202020204" pitchFamily="34" charset="0"/>
                      </a:defRPr>
                    </a:pPr>
                    <a:endParaRPr lang="en-US" baseline="0"/>
                  </a:p>
                </c:rich>
              </c:tx>
              <c:spPr>
                <a:noFill/>
                <a:ln>
                  <a:noFill/>
                </a:ln>
                <a:effectLst/>
              </c:spPr>
              <c:showLegendKey val="0"/>
              <c:showVal val="1"/>
              <c:showCatName val="0"/>
              <c:showSerName val="0"/>
              <c:showPercent val="0"/>
              <c:showBubbleSize val="0"/>
              <c:separator>
</c:separator>
              <c:extLst>
                <c:ext xmlns:c15="http://schemas.microsoft.com/office/drawing/2012/chart" uri="{CE6537A1-D6FC-4f65-9D91-7224C49458BB}">
                  <c15:layout>
                    <c:manualLayout>
                      <c:w val="0.16434201736806947"/>
                      <c:h val="0.10132170447269795"/>
                    </c:manualLayout>
                  </c15:layout>
                  <c15:showDataLabelsRange val="1"/>
                </c:ext>
                <c:ext xmlns:c16="http://schemas.microsoft.com/office/drawing/2014/chart" uri="{C3380CC4-5D6E-409C-BE32-E72D297353CC}">
                  <c16:uniqueId val="{00000003-6F08-487A-9C7A-02880EE3903F}"/>
                </c:ext>
              </c:extLst>
            </c:dLbl>
            <c:dLbl>
              <c:idx val="3"/>
              <c:layout>
                <c:manualLayout>
                  <c:x val="-2.2268158363972224E-3"/>
                  <c:y val="1.5094590975761268E-2"/>
                </c:manualLayout>
              </c:layout>
              <c:tx>
                <c:rich>
                  <a:bodyPr vertOverflow="overflow" horzOverflow="overflow" wrap="square" lIns="38100" tIns="19050" rIns="38100" bIns="19050" anchor="ctr">
                    <a:noAutofit/>
                  </a:bodyPr>
                  <a:lstStyle/>
                  <a:p>
                    <a:pPr>
                      <a:defRPr sz="900">
                        <a:solidFill>
                          <a:sysClr val="windowText" lastClr="000000"/>
                        </a:solidFill>
                        <a:latin typeface="Arial" panose="020B0604020202020204" pitchFamily="34" charset="0"/>
                        <a:ea typeface="Open Sans Light" panose="020B0306030504020204" pitchFamily="34" charset="0"/>
                        <a:cs typeface="Arial" panose="020B0604020202020204" pitchFamily="34" charset="0"/>
                      </a:defRPr>
                    </a:pPr>
                    <a:fld id="{49C03ECB-AA12-47A2-A85F-5BBBB5949BE0}" type="CELLRANGE">
                      <a:rPr lang="en-US" baseline="0"/>
                      <a:pPr>
                        <a:defRPr sz="900">
                          <a:solidFill>
                            <a:sysClr val="windowText" lastClr="000000"/>
                          </a:solidFill>
                          <a:latin typeface="Arial" panose="020B0604020202020204" pitchFamily="34" charset="0"/>
                          <a:ea typeface="Open Sans Light" panose="020B0306030504020204" pitchFamily="34" charset="0"/>
                          <a:cs typeface="Arial" panose="020B0604020202020204" pitchFamily="34" charset="0"/>
                        </a:defRPr>
                      </a:pPr>
                      <a:t>[CELLRANGE]</a:t>
                    </a:fld>
                    <a:r>
                      <a:rPr lang="en-US" baseline="0"/>
                      <a:t>
</a:t>
                    </a:r>
                    <a:fld id="{B3F756CF-5B62-4515-92BA-A1D76B9D1287}" type="VALUE">
                      <a:rPr lang="en-US" baseline="0"/>
                      <a:pPr>
                        <a:defRPr sz="900">
                          <a:solidFill>
                            <a:sysClr val="windowText" lastClr="000000"/>
                          </a:solidFill>
                          <a:latin typeface="Arial" panose="020B0604020202020204" pitchFamily="34" charset="0"/>
                          <a:ea typeface="Open Sans Light" panose="020B0306030504020204" pitchFamily="34" charset="0"/>
                          <a:cs typeface="Arial" panose="020B0604020202020204" pitchFamily="34" charset="0"/>
                        </a:defRPr>
                      </a:pPr>
                      <a:t>[VALUE]</a:t>
                    </a:fld>
                    <a:endParaRPr lang="en-US" baseline="0"/>
                  </a:p>
                </c:rich>
              </c:tx>
              <c:spPr>
                <a:noFill/>
                <a:ln>
                  <a:noFill/>
                </a:ln>
                <a:effectLst/>
              </c:spPr>
              <c:showLegendKey val="0"/>
              <c:showVal val="1"/>
              <c:showCatName val="0"/>
              <c:showSerName val="0"/>
              <c:showPercent val="0"/>
              <c:showBubbleSize val="0"/>
              <c:separator>
</c:separator>
              <c:extLst>
                <c:ext xmlns:c15="http://schemas.microsoft.com/office/drawing/2012/chart" uri="{CE6537A1-D6FC-4f65-9D91-7224C49458BB}">
                  <c15:layout>
                    <c:manualLayout>
                      <c:w val="0.13094188376753504"/>
                      <c:h val="0.10132170447269795"/>
                    </c:manualLayout>
                  </c15:layout>
                  <c15:dlblFieldTable/>
                  <c15:showDataLabelsRange val="1"/>
                </c:ext>
                <c:ext xmlns:c16="http://schemas.microsoft.com/office/drawing/2014/chart" uri="{C3380CC4-5D6E-409C-BE32-E72D297353CC}">
                  <c16:uniqueId val="{00000000-6F08-487A-9C7A-02880EE3903F}"/>
                </c:ext>
              </c:extLst>
            </c:dLbl>
            <c:dLbl>
              <c:idx val="4"/>
              <c:layout>
                <c:manualLayout>
                  <c:x val="2.7713589909477723E-2"/>
                  <c:y val="5.5896422303813829E-2"/>
                </c:manualLayout>
              </c:layout>
              <c:tx>
                <c:rich>
                  <a:bodyPr vertOverflow="overflow" horzOverflow="overflow" wrap="square" lIns="38100" tIns="19050" rIns="38100" bIns="19050" anchor="ctr">
                    <a:noAutofit/>
                  </a:bodyPr>
                  <a:lstStyle/>
                  <a:p>
                    <a:pPr>
                      <a:defRPr sz="900">
                        <a:solidFill>
                          <a:sysClr val="windowText" lastClr="000000"/>
                        </a:solidFill>
                        <a:latin typeface="Arial" panose="020B0604020202020204" pitchFamily="34" charset="0"/>
                        <a:ea typeface="Open Sans Light" panose="020B0306030504020204" pitchFamily="34" charset="0"/>
                        <a:cs typeface="Arial" panose="020B0604020202020204" pitchFamily="34" charset="0"/>
                      </a:defRPr>
                    </a:pPr>
                    <a:fld id="{5CEC9714-A991-4A83-9A1F-6847EFA9EFE3}" type="CELLRANGE">
                      <a:rPr lang="en-US" baseline="0"/>
                      <a:pPr>
                        <a:defRPr sz="900">
                          <a:solidFill>
                            <a:sysClr val="windowText" lastClr="000000"/>
                          </a:solidFill>
                          <a:latin typeface="Arial" panose="020B0604020202020204" pitchFamily="34" charset="0"/>
                          <a:ea typeface="Open Sans Light" panose="020B0306030504020204" pitchFamily="34" charset="0"/>
                          <a:cs typeface="Arial" panose="020B0604020202020204" pitchFamily="34" charset="0"/>
                        </a:defRPr>
                      </a:pPr>
                      <a:t>[CELLRANGE]</a:t>
                    </a:fld>
                    <a:r>
                      <a:rPr lang="en-US" baseline="0"/>
                      <a:t>
</a:t>
                    </a:r>
                    <a:fld id="{BFF9F4A3-C9D1-44AF-8BEE-0BBA618844F9}" type="VALUE">
                      <a:rPr lang="en-US" baseline="0"/>
                      <a:pPr>
                        <a:defRPr sz="900">
                          <a:solidFill>
                            <a:sysClr val="windowText" lastClr="000000"/>
                          </a:solidFill>
                          <a:latin typeface="Arial" panose="020B0604020202020204" pitchFamily="34" charset="0"/>
                          <a:ea typeface="Open Sans Light" panose="020B0306030504020204" pitchFamily="34" charset="0"/>
                          <a:cs typeface="Arial" panose="020B0604020202020204" pitchFamily="34" charset="0"/>
                        </a:defRPr>
                      </a:pPr>
                      <a:t>[VALUE]</a:t>
                    </a:fld>
                    <a:endParaRPr lang="en-US" baseline="0"/>
                  </a:p>
                </c:rich>
              </c:tx>
              <c:spPr>
                <a:noFill/>
                <a:ln>
                  <a:noFill/>
                </a:ln>
                <a:effectLst/>
              </c:spPr>
              <c:showLegendKey val="0"/>
              <c:showVal val="1"/>
              <c:showCatName val="0"/>
              <c:showSerName val="0"/>
              <c:showPercent val="0"/>
              <c:showBubbleSize val="0"/>
              <c:separator>
</c:separator>
              <c:extLst>
                <c:ext xmlns:c15="http://schemas.microsoft.com/office/drawing/2012/chart" uri="{CE6537A1-D6FC-4f65-9D91-7224C49458BB}">
                  <c15:layout>
                    <c:manualLayout>
                      <c:w val="0.15498335253183532"/>
                      <c:h val="7.0246764386433042E-2"/>
                    </c:manualLayout>
                  </c15:layout>
                  <c15:dlblFieldTable/>
                  <c15:showDataLabelsRange val="1"/>
                </c:ext>
                <c:ext xmlns:c16="http://schemas.microsoft.com/office/drawing/2014/chart" uri="{C3380CC4-5D6E-409C-BE32-E72D297353CC}">
                  <c16:uniqueId val="{00000004-6F08-487A-9C7A-02880EE3903F}"/>
                </c:ext>
              </c:extLst>
            </c:dLbl>
            <c:dLbl>
              <c:idx val="5"/>
              <c:layout>
                <c:manualLayout>
                  <c:x val="5.5590656378373571E-2"/>
                  <c:y val="6.1557199775433939E-3"/>
                </c:manualLayout>
              </c:layout>
              <c:tx>
                <c:rich>
                  <a:bodyPr vertOverflow="overflow" horzOverflow="overflow" wrap="square" lIns="38100" tIns="19050" rIns="38100" bIns="19050" anchor="ctr">
                    <a:noAutofit/>
                  </a:bodyPr>
                  <a:lstStyle/>
                  <a:p>
                    <a:pPr>
                      <a:defRPr sz="900">
                        <a:solidFill>
                          <a:sysClr val="windowText" lastClr="000000"/>
                        </a:solidFill>
                        <a:latin typeface="Arial" panose="020B0604020202020204" pitchFamily="34" charset="0"/>
                        <a:ea typeface="Open Sans Light" panose="020B0306030504020204" pitchFamily="34" charset="0"/>
                        <a:cs typeface="Arial" panose="020B0604020202020204" pitchFamily="34" charset="0"/>
                      </a:defRPr>
                    </a:pPr>
                    <a:endParaRPr lang="en-US" baseline="0"/>
                  </a:p>
                </c:rich>
              </c:tx>
              <c:spPr>
                <a:noFill/>
                <a:ln>
                  <a:noFill/>
                </a:ln>
                <a:effectLst/>
              </c:spPr>
              <c:showLegendKey val="0"/>
              <c:showVal val="1"/>
              <c:showCatName val="0"/>
              <c:showSerName val="0"/>
              <c:showPercent val="0"/>
              <c:showBubbleSize val="0"/>
              <c:separator>
</c:separator>
              <c:extLst>
                <c:ext xmlns:c15="http://schemas.microsoft.com/office/drawing/2012/chart" uri="{CE6537A1-D6FC-4f65-9D91-7224C49458BB}">
                  <c15:layout>
                    <c:manualLayout>
                      <c:w val="0.1843820975283901"/>
                      <c:h val="9.0963391110609665E-2"/>
                    </c:manualLayout>
                  </c15:layout>
                  <c15:showDataLabelsRange val="0"/>
                </c:ext>
                <c:ext xmlns:c16="http://schemas.microsoft.com/office/drawing/2014/chart" uri="{C3380CC4-5D6E-409C-BE32-E72D297353CC}">
                  <c16:uniqueId val="{00000005-6F08-487A-9C7A-02880EE3903F}"/>
                </c:ext>
              </c:extLst>
            </c:dLbl>
            <c:dLbl>
              <c:idx val="6"/>
              <c:layout>
                <c:manualLayout>
                  <c:x val="0.12317143473298303"/>
                  <c:y val="-1.8470150521789842E-2"/>
                </c:manualLayout>
              </c:layout>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6-6F08-487A-9C7A-02880EE3903F}"/>
                </c:ext>
              </c:extLst>
            </c:dLbl>
            <c:dLbl>
              <c:idx val="7"/>
              <c:layout>
                <c:manualLayout>
                  <c:x val="0.15811149858772669"/>
                  <c:y val="-3.659719890544437E-2"/>
                </c:manualLayout>
              </c:layout>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7-6F08-487A-9C7A-02880EE3903F}"/>
                </c:ext>
              </c:extLst>
            </c:dLbl>
            <c:spPr>
              <a:noFill/>
              <a:ln>
                <a:noFill/>
              </a:ln>
              <a:effectLst/>
            </c:spPr>
            <c:txPr>
              <a:bodyPr vertOverflow="overflow" horzOverflow="overflow" wrap="square" lIns="38100" tIns="19050" rIns="38100" bIns="19050" anchor="ctr">
                <a:spAutoFit/>
              </a:bodyPr>
              <a:lstStyle/>
              <a:p>
                <a:pPr>
                  <a:defRPr sz="900">
                    <a:solidFill>
                      <a:sysClr val="windowText" lastClr="000000"/>
                    </a:solidFill>
                    <a:latin typeface="Arial" panose="020B0604020202020204" pitchFamily="34" charset="0"/>
                    <a:ea typeface="Open Sans Light" panose="020B0306030504020204" pitchFamily="34" charset="0"/>
                    <a:cs typeface="Arial" panose="020B0604020202020204" pitchFamily="34" charset="0"/>
                  </a:defRPr>
                </a:pPr>
                <a:endParaRPr lang="en-US"/>
              </a:p>
            </c:txPr>
            <c:showLegendKey val="0"/>
            <c:showVal val="1"/>
            <c:showCatName val="0"/>
            <c:showSerName val="0"/>
            <c:showPercent val="0"/>
            <c:showBubbleSize val="0"/>
            <c:separator>
</c:separator>
            <c:showLeaderLines val="1"/>
            <c:extLst>
              <c:ext xmlns:c15="http://schemas.microsoft.com/office/drawing/2012/chart" uri="{CE6537A1-D6FC-4f65-9D91-7224C49458BB}">
                <c15:showDataLabelsRange val="1"/>
              </c:ext>
            </c:extLst>
          </c:dLbls>
          <c:cat>
            <c:strRef>
              <c:f>(SUMEXPEN!$O$174:$O$179,SUMEXPEN!$O$181)</c:f>
              <c:strCache>
                <c:ptCount val="7"/>
                <c:pt idx="0">
                  <c:v>Instruction: 4%</c:v>
                </c:pt>
                <c:pt idx="1">
                  <c:v>Student Support: 0%</c:v>
                </c:pt>
                <c:pt idx="2">
                  <c:v>Instructional Support: 0.%</c:v>
                </c:pt>
                <c:pt idx="3">
                  <c:v>Administration &amp; Support: 9%</c:v>
                </c:pt>
                <c:pt idx="4">
                  <c:v>Operations &amp; Maintenance: 75%</c:v>
                </c:pt>
                <c:pt idx="5">
                  <c:v>Transportation: 12%</c:v>
                </c:pt>
                <c:pt idx="6">
                  <c:v>Other Costs: 0%</c:v>
                </c:pt>
              </c:strCache>
            </c:strRef>
          </c:cat>
          <c:val>
            <c:numRef>
              <c:f>(SUMEXPEN!$P$174:$P$179,SUMEXPEN!$P$181)</c:f>
              <c:numCache>
                <c:formatCode>0%</c:formatCode>
                <c:ptCount val="7"/>
                <c:pt idx="0">
                  <c:v>0.04</c:v>
                </c:pt>
                <c:pt idx="1">
                  <c:v>#N/A</c:v>
                </c:pt>
                <c:pt idx="2">
                  <c:v>#N/A</c:v>
                </c:pt>
                <c:pt idx="3">
                  <c:v>0.09</c:v>
                </c:pt>
                <c:pt idx="4">
                  <c:v>0.75</c:v>
                </c:pt>
                <c:pt idx="5">
                  <c:v>0.12</c:v>
                </c:pt>
                <c:pt idx="6">
                  <c:v>#N/A</c:v>
                </c:pt>
              </c:numCache>
            </c:numRef>
          </c:val>
          <c:extLst>
            <c:ext xmlns:c15="http://schemas.microsoft.com/office/drawing/2012/chart" uri="{02D57815-91ED-43cb-92C2-25804820EDAC}">
              <c15:datalabelsRange>
                <c15:f>(SUMEXPEN!$Q$174:$Q$179,SUMEXPEN!$Q$181)</c15:f>
                <c15:dlblRangeCache>
                  <c:ptCount val="7"/>
                  <c:pt idx="0">
                    <c:v>Instruction</c:v>
                  </c:pt>
                  <c:pt idx="1">
                    <c:v>Student Support</c:v>
                  </c:pt>
                  <c:pt idx="2">
                    <c:v>Instructional Support</c:v>
                  </c:pt>
                  <c:pt idx="3">
                    <c:v>Administration &amp; Support</c:v>
                  </c:pt>
                  <c:pt idx="4">
                    <c:v>Operations &amp; Maintenance</c:v>
                  </c:pt>
                  <c:pt idx="5">
                    <c:v>Transportation</c:v>
                  </c:pt>
                  <c:pt idx="6">
                    <c:v>Other Costs</c:v>
                  </c:pt>
                </c15:dlblRangeCache>
              </c15:datalabelsRange>
            </c:ext>
            <c:ext xmlns:c16="http://schemas.microsoft.com/office/drawing/2014/chart" uri="{C3380CC4-5D6E-409C-BE32-E72D297353CC}">
              <c16:uniqueId val="{00000000-5C91-4ED5-A85B-5F66A849B5EA}"/>
            </c:ext>
          </c:extLst>
        </c:ser>
        <c:dLbls>
          <c:showLegendKey val="0"/>
          <c:showVal val="0"/>
          <c:showCatName val="1"/>
          <c:showSerName val="0"/>
          <c:showPercent val="1"/>
          <c:showBubbleSize val="0"/>
          <c:showLeaderLines val="1"/>
        </c:dLbls>
      </c:pie3DChart>
    </c:plotArea>
    <c:legend>
      <c:legendPos val="r"/>
      <c:layout>
        <c:manualLayout>
          <c:xMode val="edge"/>
          <c:yMode val="edge"/>
          <c:x val="0.76452320408723951"/>
          <c:y val="0.14634665001152475"/>
          <c:w val="0.23547679591276036"/>
          <c:h val="0.8536533499884752"/>
        </c:manualLayout>
      </c:layout>
      <c:overlay val="0"/>
      <c:txPr>
        <a:bodyPr/>
        <a:lstStyle/>
        <a:p>
          <a:pPr>
            <a:defRPr sz="900" baseline="0">
              <a:latin typeface="Arial" panose="020B0604020202020204" pitchFamily="34" charset="0"/>
              <a:ea typeface="Open Sans Light" panose="020B0306030504020204" pitchFamily="34" charset="0"/>
              <a:cs typeface="Arial" panose="020B0604020202020204" pitchFamily="34" charset="0"/>
            </a:defRPr>
          </a:pPr>
          <a:endParaRPr lang="en-US"/>
        </a:p>
      </c:txPr>
    </c:legend>
    <c:plotVisOnly val="1"/>
    <c:dispBlanksAs val="gap"/>
    <c:showDLblsOverMax val="0"/>
  </c:chart>
  <c:spPr>
    <a:noFill/>
    <a:ln>
      <a:solidFill>
        <a:srgbClr val="53565A"/>
      </a:solidFill>
    </a:ln>
  </c:spPr>
  <c:printSettings>
    <c:headerFooter alignWithMargins="0"/>
    <c:pageMargins b="0.5" l="0.25" r="0.25" t="0.5" header="0.3" footer="0.3"/>
    <c:pageSetup orientation="landscape"/>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34"/>
    </mc:Choice>
    <mc:Fallback>
      <c:style val="34"/>
    </mc:Fallback>
  </mc:AlternateContent>
  <c:clrMapOvr bg1="lt1" tx1="dk1" bg2="lt2" tx2="dk2" accent1="accent1" accent2="accent2" accent3="accent3" accent4="accent4" accent5="accent5" accent6="accent6" hlink="hlink" folHlink="folHlink"/>
  <c:chart>
    <c:title>
      <c:tx>
        <c:rich>
          <a:bodyPr/>
          <a:lstStyle/>
          <a:p>
            <a:pPr algn="ctr" rtl="0">
              <a:defRPr lang="en-US" sz="1400" b="0" i="0" u="none" strike="noStrike" kern="1200" baseline="0">
                <a:solidFill>
                  <a:srgbClr val="12284C"/>
                </a:solidFill>
                <a:latin typeface="Open Sans Semibold" panose="020B0706030804020204" pitchFamily="34" charset="0"/>
                <a:ea typeface="Open Sans Semibold" panose="020B0706030804020204" pitchFamily="34" charset="0"/>
                <a:cs typeface="Open Sans Semibold" panose="020B0706030804020204" pitchFamily="34" charset="0"/>
              </a:defRPr>
            </a:pPr>
            <a:r>
              <a:rPr lang="en-US" sz="1400" b="0" i="0" u="none" strike="noStrike" kern="1200" baseline="0">
                <a:solidFill>
                  <a:srgbClr val="12284C"/>
                </a:solidFill>
                <a:latin typeface="Arial" panose="020B0604020202020204" pitchFamily="34" charset="0"/>
                <a:ea typeface="Open Sans Semibold" panose="020B0706030804020204" pitchFamily="34" charset="0"/>
                <a:cs typeface="Arial" panose="020B0604020202020204" pitchFamily="34" charset="0"/>
              </a:rPr>
              <a:t>Summary of General and Supplemental General Fund</a:t>
            </a:r>
          </a:p>
          <a:p>
            <a:pPr algn="ctr" rtl="0">
              <a:defRPr lang="en-US" sz="1400" b="0" i="0" u="none" strike="noStrike" kern="1200" baseline="0">
                <a:solidFill>
                  <a:srgbClr val="12284C"/>
                </a:solidFill>
                <a:latin typeface="Open Sans Semibold" panose="020B0706030804020204" pitchFamily="34" charset="0"/>
                <a:ea typeface="Open Sans Semibold" panose="020B0706030804020204" pitchFamily="34" charset="0"/>
                <a:cs typeface="Open Sans Semibold" panose="020B0706030804020204" pitchFamily="34" charset="0"/>
              </a:defRPr>
            </a:pPr>
            <a:r>
              <a:rPr lang="en-US" sz="1400" b="0" i="0" u="none" strike="noStrike" kern="1200" baseline="0">
                <a:solidFill>
                  <a:srgbClr val="12284C"/>
                </a:solidFill>
                <a:latin typeface="Arial" panose="020B0604020202020204" pitchFamily="34" charset="0"/>
                <a:ea typeface="Open Sans Semibold" panose="020B0706030804020204" pitchFamily="34" charset="0"/>
                <a:cs typeface="Arial" panose="020B0604020202020204" pitchFamily="34" charset="0"/>
              </a:rPr>
              <a:t>Expenditures by Function</a:t>
            </a:r>
          </a:p>
        </c:rich>
      </c:tx>
      <c:overlay val="0"/>
    </c:title>
    <c:autoTitleDeleted val="0"/>
    <c:view3D>
      <c:rotX val="15"/>
      <c:rotY val="20"/>
      <c:depthPercent val="100"/>
      <c:rAngAx val="1"/>
    </c:view3D>
    <c:floor>
      <c:thickness val="0"/>
      <c:spPr>
        <a:gradFill flip="none" rotWithShape="1">
          <a:gsLst>
            <a:gs pos="0">
              <a:srgbClr val="12284C">
                <a:lumMod val="5000"/>
                <a:lumOff val="95000"/>
              </a:srgbClr>
            </a:gs>
            <a:gs pos="74000">
              <a:srgbClr val="12284C">
                <a:lumMod val="45000"/>
                <a:lumOff val="55000"/>
              </a:srgbClr>
            </a:gs>
            <a:gs pos="83000">
              <a:srgbClr val="12284C">
                <a:lumMod val="45000"/>
                <a:lumOff val="55000"/>
              </a:srgbClr>
            </a:gs>
            <a:gs pos="100000">
              <a:srgbClr val="12284C">
                <a:lumMod val="30000"/>
                <a:lumOff val="70000"/>
              </a:srgbClr>
            </a:gs>
          </a:gsLst>
          <a:path path="circle">
            <a:fillToRect l="100000" t="100000"/>
          </a:path>
          <a:tileRect r="-100000" b="-100000"/>
        </a:gradFill>
        <a:ln>
          <a:solidFill>
            <a:srgbClr val="12284C"/>
          </a:solidFill>
        </a:ln>
      </c:spPr>
    </c:floor>
    <c:sideWall>
      <c:thickness val="0"/>
      <c:spPr>
        <a:gradFill flip="none" rotWithShape="1">
          <a:gsLst>
            <a:gs pos="0">
              <a:srgbClr val="12284C">
                <a:lumMod val="5000"/>
                <a:lumOff val="95000"/>
              </a:srgbClr>
            </a:gs>
            <a:gs pos="74000">
              <a:srgbClr val="12284C">
                <a:lumMod val="45000"/>
                <a:lumOff val="55000"/>
              </a:srgbClr>
            </a:gs>
            <a:gs pos="83000">
              <a:srgbClr val="12284C">
                <a:lumMod val="45000"/>
                <a:lumOff val="55000"/>
              </a:srgbClr>
            </a:gs>
            <a:gs pos="100000">
              <a:srgbClr val="12284C">
                <a:lumMod val="30000"/>
                <a:lumOff val="70000"/>
              </a:srgbClr>
            </a:gs>
          </a:gsLst>
          <a:path path="circle">
            <a:fillToRect l="100000" t="100000"/>
          </a:path>
          <a:tileRect r="-100000" b="-100000"/>
        </a:gradFill>
        <a:ln>
          <a:solidFill>
            <a:srgbClr val="12284C"/>
          </a:solidFill>
        </a:ln>
      </c:spPr>
    </c:sideWall>
    <c:backWall>
      <c:thickness val="0"/>
      <c:spPr>
        <a:gradFill flip="none" rotWithShape="1">
          <a:gsLst>
            <a:gs pos="0">
              <a:srgbClr val="12284C">
                <a:lumMod val="5000"/>
                <a:lumOff val="95000"/>
              </a:srgbClr>
            </a:gs>
            <a:gs pos="74000">
              <a:srgbClr val="12284C">
                <a:lumMod val="45000"/>
                <a:lumOff val="55000"/>
              </a:srgbClr>
            </a:gs>
            <a:gs pos="83000">
              <a:srgbClr val="12284C">
                <a:lumMod val="45000"/>
                <a:lumOff val="55000"/>
              </a:srgbClr>
            </a:gs>
            <a:gs pos="100000">
              <a:srgbClr val="12284C">
                <a:lumMod val="30000"/>
                <a:lumOff val="70000"/>
              </a:srgbClr>
            </a:gs>
          </a:gsLst>
          <a:path path="circle">
            <a:fillToRect l="100000" t="100000"/>
          </a:path>
          <a:tileRect r="-100000" b="-100000"/>
        </a:gradFill>
        <a:ln>
          <a:solidFill>
            <a:srgbClr val="12284C"/>
          </a:solidFill>
        </a:ln>
      </c:spPr>
    </c:backWall>
    <c:plotArea>
      <c:layout>
        <c:manualLayout>
          <c:layoutTarget val="inner"/>
          <c:xMode val="edge"/>
          <c:yMode val="edge"/>
          <c:x val="7.2835046345621199E-2"/>
          <c:y val="0.13407672863944212"/>
          <c:w val="0.82797458008469327"/>
          <c:h val="0.63838110773941859"/>
        </c:manualLayout>
      </c:layout>
      <c:bar3DChart>
        <c:barDir val="col"/>
        <c:grouping val="clustered"/>
        <c:varyColors val="0"/>
        <c:ser>
          <c:idx val="0"/>
          <c:order val="0"/>
          <c:tx>
            <c:strRef>
              <c:f>SUMEXPEN!$P$213</c:f>
              <c:strCache>
                <c:ptCount val="1"/>
                <c:pt idx="0">
                  <c:v>2023-2024</c:v>
                </c:pt>
              </c:strCache>
            </c:strRef>
          </c:tx>
          <c:spPr>
            <a:solidFill>
              <a:srgbClr val="FFA400"/>
            </a:solidFill>
            <a:ln>
              <a:solidFill>
                <a:srgbClr val="D28700"/>
              </a:solidFill>
            </a:ln>
          </c:spPr>
          <c:invertIfNegative val="0"/>
          <c:dLbls>
            <c:dLbl>
              <c:idx val="0"/>
              <c:layout>
                <c:manualLayout>
                  <c:x val="-2.7293364173900086E-3"/>
                  <c:y val="-8.1510395156591517E-2"/>
                </c:manualLayout>
              </c:layout>
              <c:spPr>
                <a:noFill/>
                <a:ln>
                  <a:noFill/>
                </a:ln>
                <a:effectLst/>
              </c:spPr>
              <c:txPr>
                <a:bodyPr rot="-5400000" vertOverflow="clip" horzOverflow="clip" vert="horz" wrap="square" lIns="0" tIns="0" rIns="0" bIns="0" numCol="1" spcCol="0" anchor="ctr" anchorCtr="0">
                  <a:noAutofit/>
                </a:bodyPr>
                <a:lstStyle/>
                <a:p>
                  <a:pPr algn="l">
                    <a:defRPr sz="900">
                      <a:latin typeface="Arial" panose="020B0604020202020204" pitchFamily="34" charset="0"/>
                      <a:ea typeface="Open Sans Light" panose="020B0306030504020204" pitchFamily="34" charset="0"/>
                      <a:cs typeface="Arial" panose="020B0604020202020204" pitchFamily="34" charset="0"/>
                    </a:defRPr>
                  </a:pPr>
                  <a:endParaRPr lang="en-US"/>
                </a:p>
              </c:txPr>
              <c:showLegendKey val="0"/>
              <c:showVal val="1"/>
              <c:showCatName val="0"/>
              <c:showSerName val="0"/>
              <c:showPercent val="0"/>
              <c:showBubbleSize val="0"/>
              <c:extLst>
                <c:ext xmlns:c15="http://schemas.microsoft.com/office/drawing/2012/chart" uri="{CE6537A1-D6FC-4f65-9D91-7224C49458BB}">
                  <c15:layout>
                    <c:manualLayout>
                      <c:w val="8.2231374097685078E-2"/>
                      <c:h val="6.763604785366191E-2"/>
                    </c:manualLayout>
                  </c15:layout>
                </c:ext>
                <c:ext xmlns:c16="http://schemas.microsoft.com/office/drawing/2014/chart" uri="{C3380CC4-5D6E-409C-BE32-E72D297353CC}">
                  <c16:uniqueId val="{00000000-8A83-4DA7-9913-C7DA935F625B}"/>
                </c:ext>
              </c:extLst>
            </c:dLbl>
            <c:spPr>
              <a:noFill/>
              <a:ln>
                <a:noFill/>
              </a:ln>
              <a:effectLst/>
            </c:spPr>
            <c:txPr>
              <a:bodyPr rot="-5400000" vertOverflow="clip" horzOverflow="clip" vert="horz" wrap="square" lIns="0" tIns="0" rIns="0" bIns="0" numCol="1" spcCol="0" anchor="ctr" anchorCtr="0">
                <a:spAutoFit/>
              </a:bodyPr>
              <a:lstStyle/>
              <a:p>
                <a:pPr algn="l">
                  <a:defRPr sz="900">
                    <a:latin typeface="Arial" panose="020B0604020202020204" pitchFamily="34" charset="0"/>
                    <a:ea typeface="Open Sans Light" panose="020B0306030504020204" pitchFamily="34" charset="0"/>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cat>
            <c:strRef>
              <c:f>(SUMEXPEN!$O$214:$O$219,SUMEXPEN!$O$221)</c:f>
              <c:strCache>
                <c:ptCount val="7"/>
                <c:pt idx="0">
                  <c:v>Instruction</c:v>
                </c:pt>
                <c:pt idx="1">
                  <c:v>Student Support</c:v>
                </c:pt>
                <c:pt idx="2">
                  <c:v>Instructional Support</c:v>
                </c:pt>
                <c:pt idx="3">
                  <c:v>Administration &amp; Support</c:v>
                </c:pt>
                <c:pt idx="4">
                  <c:v>Operations &amp; Maintenance</c:v>
                </c:pt>
                <c:pt idx="5">
                  <c:v>Transportation</c:v>
                </c:pt>
                <c:pt idx="6">
                  <c:v>Other Costs</c:v>
                </c:pt>
              </c:strCache>
            </c:strRef>
          </c:cat>
          <c:val>
            <c:numRef>
              <c:f>(SUMEXPEN!$P$214:$P$219,SUMEXPEN!$P$221)</c:f>
              <c:numCache>
                <c:formatCode>"$"#,##0</c:formatCode>
                <c:ptCount val="7"/>
                <c:pt idx="0">
                  <c:v>516640</c:v>
                </c:pt>
                <c:pt idx="1">
                  <c:v>2063</c:v>
                </c:pt>
                <c:pt idx="2">
                  <c:v>0</c:v>
                </c:pt>
                <c:pt idx="3">
                  <c:v>230019</c:v>
                </c:pt>
                <c:pt idx="4">
                  <c:v>249852</c:v>
                </c:pt>
                <c:pt idx="5">
                  <c:v>52305</c:v>
                </c:pt>
                <c:pt idx="6">
                  <c:v>7174</c:v>
                </c:pt>
              </c:numCache>
            </c:numRef>
          </c:val>
          <c:extLst>
            <c:ext xmlns:c16="http://schemas.microsoft.com/office/drawing/2014/chart" uri="{C3380CC4-5D6E-409C-BE32-E72D297353CC}">
              <c16:uniqueId val="{00000000-03ED-42F9-B639-8C83BB0EB494}"/>
            </c:ext>
          </c:extLst>
        </c:ser>
        <c:ser>
          <c:idx val="1"/>
          <c:order val="1"/>
          <c:tx>
            <c:strRef>
              <c:f>SUMEXPEN!$Q$213</c:f>
              <c:strCache>
                <c:ptCount val="1"/>
                <c:pt idx="0">
                  <c:v>2024-2025</c:v>
                </c:pt>
              </c:strCache>
            </c:strRef>
          </c:tx>
          <c:spPr>
            <a:solidFill>
              <a:srgbClr val="D50032"/>
            </a:solidFill>
            <a:ln>
              <a:solidFill>
                <a:srgbClr val="B7312C"/>
              </a:solidFill>
            </a:ln>
          </c:spPr>
          <c:invertIfNegative val="0"/>
          <c:dLbls>
            <c:dLbl>
              <c:idx val="0"/>
              <c:layout>
                <c:manualLayout>
                  <c:x val="5.3729210153746133E-8"/>
                  <c:y val="-9.2142185829190371E-2"/>
                </c:manualLayout>
              </c:layout>
              <c:spPr>
                <a:noFill/>
                <a:ln>
                  <a:noFill/>
                </a:ln>
                <a:effectLst/>
              </c:spPr>
              <c:txPr>
                <a:bodyPr rot="-5400000" vertOverflow="clip" horzOverflow="clip" vert="horz" wrap="square" lIns="38100" tIns="19050" rIns="38100" bIns="19050" anchor="ctr" anchorCtr="0">
                  <a:noAutofit/>
                </a:bodyPr>
                <a:lstStyle/>
                <a:p>
                  <a:pPr algn="l">
                    <a:defRPr sz="900">
                      <a:latin typeface="Arial" panose="020B0604020202020204" pitchFamily="34" charset="0"/>
                      <a:ea typeface="Open Sans Light" panose="020B0306030504020204" pitchFamily="34" charset="0"/>
                      <a:cs typeface="Arial" panose="020B0604020202020204" pitchFamily="34" charset="0"/>
                    </a:defRPr>
                  </a:pPr>
                  <a:endParaRPr lang="en-US"/>
                </a:p>
              </c:txPr>
              <c:showLegendKey val="0"/>
              <c:showVal val="1"/>
              <c:showCatName val="0"/>
              <c:showSerName val="0"/>
              <c:showPercent val="0"/>
              <c:showBubbleSize val="0"/>
              <c:extLst>
                <c:ext xmlns:c15="http://schemas.microsoft.com/office/drawing/2012/chart" uri="{CE6537A1-D6FC-4f65-9D91-7224C49458BB}">
                  <c15:layout>
                    <c:manualLayout>
                      <c:w val="9.3149149600926281E-2"/>
                      <c:h val="5.346032695686339E-2"/>
                    </c:manualLayout>
                  </c15:layout>
                </c:ext>
                <c:ext xmlns:c16="http://schemas.microsoft.com/office/drawing/2014/chart" uri="{C3380CC4-5D6E-409C-BE32-E72D297353CC}">
                  <c16:uniqueId val="{00000001-8A83-4DA7-9913-C7DA935F625B}"/>
                </c:ext>
              </c:extLst>
            </c:dLbl>
            <c:spPr>
              <a:noFill/>
              <a:ln>
                <a:noFill/>
              </a:ln>
              <a:effectLst/>
            </c:spPr>
            <c:txPr>
              <a:bodyPr rot="-5400000" vertOverflow="clip" horzOverflow="clip" vert="horz" wrap="square" lIns="38100" tIns="19050" rIns="38100" bIns="19050" anchor="ctr" anchorCtr="0">
                <a:spAutoFit/>
              </a:bodyPr>
              <a:lstStyle/>
              <a:p>
                <a:pPr algn="l">
                  <a:defRPr sz="900">
                    <a:latin typeface="Arial" panose="020B0604020202020204" pitchFamily="34" charset="0"/>
                    <a:ea typeface="Open Sans Light" panose="020B0306030504020204" pitchFamily="34" charset="0"/>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(SUMEXPEN!$O$214:$O$219,SUMEXPEN!$O$221)</c:f>
              <c:strCache>
                <c:ptCount val="7"/>
                <c:pt idx="0">
                  <c:v>Instruction</c:v>
                </c:pt>
                <c:pt idx="1">
                  <c:v>Student Support</c:v>
                </c:pt>
                <c:pt idx="2">
                  <c:v>Instructional Support</c:v>
                </c:pt>
                <c:pt idx="3">
                  <c:v>Administration &amp; Support</c:v>
                </c:pt>
                <c:pt idx="4">
                  <c:v>Operations &amp; Maintenance</c:v>
                </c:pt>
                <c:pt idx="5">
                  <c:v>Transportation</c:v>
                </c:pt>
                <c:pt idx="6">
                  <c:v>Other Costs</c:v>
                </c:pt>
              </c:strCache>
            </c:strRef>
          </c:cat>
          <c:val>
            <c:numRef>
              <c:f>(SUMEXPEN!$Q$214:$Q$219,SUMEXPEN!$Q$221)</c:f>
              <c:numCache>
                <c:formatCode>"$"#,##0</c:formatCode>
                <c:ptCount val="7"/>
                <c:pt idx="0">
                  <c:v>509814</c:v>
                </c:pt>
                <c:pt idx="1">
                  <c:v>267</c:v>
                </c:pt>
                <c:pt idx="2">
                  <c:v>195</c:v>
                </c:pt>
                <c:pt idx="3">
                  <c:v>241259</c:v>
                </c:pt>
                <c:pt idx="4">
                  <c:v>199155</c:v>
                </c:pt>
                <c:pt idx="5">
                  <c:v>56003</c:v>
                </c:pt>
                <c:pt idx="6">
                  <c:v>219</c:v>
                </c:pt>
              </c:numCache>
            </c:numRef>
          </c:val>
          <c:extLst>
            <c:ext xmlns:c16="http://schemas.microsoft.com/office/drawing/2014/chart" uri="{C3380CC4-5D6E-409C-BE32-E72D297353CC}">
              <c16:uniqueId val="{00000001-03ED-42F9-B639-8C83BB0EB494}"/>
            </c:ext>
          </c:extLst>
        </c:ser>
        <c:ser>
          <c:idx val="2"/>
          <c:order val="2"/>
          <c:tx>
            <c:strRef>
              <c:f>SUMEXPEN!$R$213</c:f>
              <c:strCache>
                <c:ptCount val="1"/>
                <c:pt idx="0">
                  <c:v>2025-2026</c:v>
                </c:pt>
              </c:strCache>
            </c:strRef>
          </c:tx>
          <c:spPr>
            <a:solidFill>
              <a:srgbClr val="00B796"/>
            </a:solidFill>
            <a:ln>
              <a:solidFill>
                <a:srgbClr val="008269"/>
              </a:solidFill>
            </a:ln>
          </c:spPr>
          <c:invertIfNegative val="0"/>
          <c:dLbls>
            <c:dLbl>
              <c:idx val="0"/>
              <c:layout>
                <c:manualLayout>
                  <c:x val="3.7037698779965739E-3"/>
                  <c:y val="2.9239458119876848E-3"/>
                </c:manualLayout>
              </c:layout>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2-3542-4363-8AC6-8E590374E724}"/>
                </c:ext>
              </c:extLst>
            </c:dLbl>
            <c:dLbl>
              <c:idx val="1"/>
              <c:layout>
                <c:manualLayout>
                  <c:x val="3.843501944714554E-3"/>
                  <c:y val="2.1330480127978724E-3"/>
                </c:manualLayout>
              </c:layout>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0-A29D-4297-829F-F2A4BB1D8268}"/>
                </c:ext>
              </c:extLst>
            </c:dLbl>
            <c:dLbl>
              <c:idx val="2"/>
              <c:layout>
                <c:manualLayout>
                  <c:x val="5.6487475897410164E-3"/>
                  <c:y val="-5.7825192695241242E-3"/>
                </c:manualLayout>
              </c:layout>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1-A29D-4297-829F-F2A4BB1D8268}"/>
                </c:ext>
              </c:extLst>
            </c:dLbl>
            <c:dLbl>
              <c:idx val="3"/>
              <c:layout>
                <c:manualLayout>
                  <c:x val="3.7968411209221118E-3"/>
                  <c:y val="-8.9265161116074219E-3"/>
                </c:manualLayout>
              </c:layout>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2-A29D-4297-829F-F2A4BB1D8268}"/>
                </c:ext>
              </c:extLst>
            </c:dLbl>
            <c:dLbl>
              <c:idx val="4"/>
              <c:layout>
                <c:manualLayout>
                  <c:x val="7.4853050888708927E-3"/>
                  <c:y val="2.0729899705447022E-3"/>
                </c:manualLayout>
              </c:layout>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3-A29D-4297-829F-F2A4BB1D8268}"/>
                </c:ext>
              </c:extLst>
            </c:dLbl>
            <c:dLbl>
              <c:idx val="5"/>
              <c:layout>
                <c:manualLayout>
                  <c:x val="7.0417653226110587E-3"/>
                  <c:y val="1.1675166830514897E-4"/>
                </c:manualLayout>
              </c:layout>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4-A29D-4297-829F-F2A4BB1D8268}"/>
                </c:ext>
              </c:extLst>
            </c:dLbl>
            <c:dLbl>
              <c:idx val="6"/>
              <c:layout>
                <c:manualLayout>
                  <c:x val="5.6487475897408794E-3"/>
                  <c:y val="-5.7825192695241242E-3"/>
                </c:manualLayout>
              </c:layout>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5-A29D-4297-829F-F2A4BB1D8268}"/>
                </c:ext>
              </c:extLst>
            </c:dLbl>
            <c:dLbl>
              <c:idx val="7"/>
              <c:layout>
                <c:manualLayout>
                  <c:x val="3.1199477752077306E-3"/>
                  <c:y val="-9.0172095484084124E-3"/>
                </c:manualLayout>
              </c:layout>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6-A29D-4297-829F-F2A4BB1D8268}"/>
                </c:ext>
              </c:extLst>
            </c:dLbl>
            <c:dLbl>
              <c:idx val="8"/>
              <c:layout>
                <c:manualLayout>
                  <c:x val="4.8750661540899014E-3"/>
                  <c:y val="-8.4211595516453883E-3"/>
                </c:manualLayout>
              </c:layout>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7-A29D-4297-829F-F2A4BB1D8268}"/>
                </c:ext>
              </c:extLst>
            </c:dLbl>
            <c:spPr>
              <a:noFill/>
              <a:ln>
                <a:noFill/>
              </a:ln>
              <a:effectLst/>
            </c:spPr>
            <c:txPr>
              <a:bodyPr rot="-5400000" vertOverflow="clip" horzOverflow="clip" vert="horz" wrap="square" lIns="38100" tIns="19050" rIns="38100" bIns="19050" anchor="ctr" anchorCtr="0">
                <a:spAutoFit/>
              </a:bodyPr>
              <a:lstStyle/>
              <a:p>
                <a:pPr algn="l">
                  <a:defRPr sz="900">
                    <a:latin typeface="Arial" panose="020B0604020202020204" pitchFamily="34" charset="0"/>
                    <a:ea typeface="Open Sans Light" panose="020B0306030504020204" pitchFamily="34" charset="0"/>
                    <a:cs typeface="Arial" panose="020B0604020202020204" pitchFamily="34" charset="0"/>
                  </a:defRPr>
                </a:pPr>
                <a:endParaRPr lang="en-US"/>
              </a:p>
            </c:txPr>
            <c:showLegendKey val="0"/>
            <c:showVal val="1"/>
            <c:showCatName val="0"/>
            <c:showSerName val="0"/>
            <c:showPercent val="0"/>
            <c:showBubbleSize val="0"/>
            <c:separator> </c:separator>
            <c:showLeaderLines val="0"/>
            <c:extLst>
              <c:ext xmlns:c15="http://schemas.microsoft.com/office/drawing/2012/chart" uri="{CE6537A1-D6FC-4f65-9D91-7224C49458BB}">
                <c15:showLeaderLines val="0"/>
              </c:ext>
            </c:extLst>
          </c:dLbls>
          <c:cat>
            <c:strRef>
              <c:f>(SUMEXPEN!$O$214:$O$219,SUMEXPEN!$O$221)</c:f>
              <c:strCache>
                <c:ptCount val="7"/>
                <c:pt idx="0">
                  <c:v>Instruction</c:v>
                </c:pt>
                <c:pt idx="1">
                  <c:v>Student Support</c:v>
                </c:pt>
                <c:pt idx="2">
                  <c:v>Instructional Support</c:v>
                </c:pt>
                <c:pt idx="3">
                  <c:v>Administration &amp; Support</c:v>
                </c:pt>
                <c:pt idx="4">
                  <c:v>Operations &amp; Maintenance</c:v>
                </c:pt>
                <c:pt idx="5">
                  <c:v>Transportation</c:v>
                </c:pt>
                <c:pt idx="6">
                  <c:v>Other Costs</c:v>
                </c:pt>
              </c:strCache>
            </c:strRef>
          </c:cat>
          <c:val>
            <c:numRef>
              <c:f>(SUMEXPEN!$R$214:$R$219,SUMEXPEN!$R$221)</c:f>
              <c:numCache>
                <c:formatCode>"$"#,##0</c:formatCode>
                <c:ptCount val="7"/>
                <c:pt idx="0">
                  <c:v>588606</c:v>
                </c:pt>
                <c:pt idx="1">
                  <c:v>0</c:v>
                </c:pt>
                <c:pt idx="2">
                  <c:v>100</c:v>
                </c:pt>
                <c:pt idx="3">
                  <c:v>249850</c:v>
                </c:pt>
                <c:pt idx="4">
                  <c:v>378442</c:v>
                </c:pt>
                <c:pt idx="5">
                  <c:v>69599</c:v>
                </c:pt>
                <c:pt idx="6">
                  <c:v>0</c:v>
                </c:pt>
              </c:numCache>
            </c:numRef>
          </c:val>
          <c:extLst>
            <c:ext xmlns:c16="http://schemas.microsoft.com/office/drawing/2014/chart" uri="{C3380CC4-5D6E-409C-BE32-E72D297353CC}">
              <c16:uniqueId val="{00000002-03ED-42F9-B639-8C83BB0EB494}"/>
            </c:ext>
          </c:extLst>
        </c:ser>
        <c:dLbls>
          <c:showLegendKey val="0"/>
          <c:showVal val="1"/>
          <c:showCatName val="0"/>
          <c:showSerName val="0"/>
          <c:showPercent val="0"/>
          <c:showBubbleSize val="0"/>
        </c:dLbls>
        <c:gapWidth val="150"/>
        <c:shape val="box"/>
        <c:axId val="128185088"/>
        <c:axId val="128186624"/>
        <c:axId val="0"/>
      </c:bar3DChart>
      <c:catAx>
        <c:axId val="128185088"/>
        <c:scaling>
          <c:orientation val="minMax"/>
        </c:scaling>
        <c:delete val="0"/>
        <c:axPos val="b"/>
        <c:numFmt formatCode="General" sourceLinked="1"/>
        <c:majorTickMark val="none"/>
        <c:minorTickMark val="none"/>
        <c:tickLblPos val="nextTo"/>
        <c:spPr>
          <a:noFill/>
        </c:spPr>
        <c:txPr>
          <a:bodyPr rot="0" anchor="t" anchorCtr="0"/>
          <a:lstStyle/>
          <a:p>
            <a:pPr>
              <a:defRPr sz="900" b="0" baseline="0">
                <a:solidFill>
                  <a:sysClr val="windowText" lastClr="000000"/>
                </a:solidFill>
                <a:latin typeface="Arial" panose="020B0604020202020204" pitchFamily="34" charset="0"/>
                <a:ea typeface="Open Sans" panose="020B0606030504020204" pitchFamily="34" charset="0"/>
                <a:cs typeface="Arial" panose="020B0604020202020204" pitchFamily="34" charset="0"/>
              </a:defRPr>
            </a:pPr>
            <a:endParaRPr lang="en-US"/>
          </a:p>
        </c:txPr>
        <c:crossAx val="128186624"/>
        <c:crosses val="autoZero"/>
        <c:auto val="1"/>
        <c:lblAlgn val="ctr"/>
        <c:lblOffset val="100"/>
        <c:noMultiLvlLbl val="0"/>
      </c:catAx>
      <c:valAx>
        <c:axId val="128186624"/>
        <c:scaling>
          <c:orientation val="minMax"/>
        </c:scaling>
        <c:delete val="0"/>
        <c:axPos val="l"/>
        <c:majorGridlines>
          <c:spPr>
            <a:ln>
              <a:solidFill>
                <a:srgbClr val="53565A"/>
              </a:solidFill>
            </a:ln>
          </c:spPr>
        </c:majorGridlines>
        <c:numFmt formatCode="&quot;$&quot;#,##0" sourceLinked="1"/>
        <c:majorTickMark val="none"/>
        <c:minorTickMark val="none"/>
        <c:tickLblPos val="nextTo"/>
        <c:spPr>
          <a:ln>
            <a:solidFill>
              <a:srgbClr val="53565A"/>
            </a:solidFill>
          </a:ln>
        </c:spPr>
        <c:txPr>
          <a:bodyPr/>
          <a:lstStyle/>
          <a:p>
            <a:pPr>
              <a:defRPr sz="900" baseline="0">
                <a:latin typeface="Arial" panose="020B0604020202020204" pitchFamily="34" charset="0"/>
                <a:ea typeface="Open Sans" panose="020B0606030504020204" pitchFamily="34" charset="0"/>
                <a:cs typeface="Arial" panose="020B0604020202020204" pitchFamily="34" charset="0"/>
              </a:defRPr>
            </a:pPr>
            <a:endParaRPr lang="en-US"/>
          </a:p>
        </c:txPr>
        <c:crossAx val="128185088"/>
        <c:crosses val="autoZero"/>
        <c:crossBetween val="between"/>
      </c:valAx>
      <c:spPr>
        <a:solidFill>
          <a:schemeClr val="bg1"/>
        </a:solidFill>
        <a:ln>
          <a:noFill/>
        </a:ln>
      </c:spPr>
    </c:plotArea>
    <c:legend>
      <c:legendPos val="r"/>
      <c:layout>
        <c:manualLayout>
          <c:xMode val="edge"/>
          <c:yMode val="edge"/>
          <c:x val="0.90137033578610548"/>
          <c:y val="0.79002084615966217"/>
          <c:w val="9.6564415929897771E-2"/>
          <c:h val="0.20905102180146556"/>
        </c:manualLayout>
      </c:layout>
      <c:overlay val="0"/>
      <c:txPr>
        <a:bodyPr/>
        <a:lstStyle/>
        <a:p>
          <a:pPr>
            <a:defRPr sz="900" b="0">
              <a:solidFill>
                <a:sysClr val="windowText" lastClr="000000"/>
              </a:solidFill>
              <a:latin typeface="Arial" panose="020B0604020202020204" pitchFamily="34" charset="0"/>
              <a:ea typeface="Open Sans" panose="020B0606030504020204" pitchFamily="34" charset="0"/>
              <a:cs typeface="Arial" panose="020B0604020202020204" pitchFamily="34" charset="0"/>
            </a:defRPr>
          </a:pPr>
          <a:endParaRPr lang="en-US"/>
        </a:p>
      </c:txPr>
    </c:legend>
    <c:plotVisOnly val="1"/>
    <c:dispBlanksAs val="gap"/>
    <c:showDLblsOverMax val="0"/>
  </c:chart>
  <c:spPr>
    <a:noFill/>
    <a:ln>
      <a:solidFill>
        <a:srgbClr val="53565A"/>
      </a:solidFill>
    </a:ln>
  </c:spPr>
  <c:printSettings>
    <c:headerFooter/>
    <c:pageMargins b="0.75" l="0.7" r="0.7" t="0.75" header="0.3" footer="0.3"/>
    <c:pageSetup orientation="portrait"/>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34"/>
    </mc:Choice>
    <mc:Fallback>
      <c:style val="34"/>
    </mc:Fallback>
  </mc:AlternateContent>
  <c:clrMapOvr bg1="lt1" tx1="dk1" bg2="lt2" tx2="dk2" accent1="accent1" accent2="accent2" accent3="accent3" accent4="accent4" accent5="accent5" accent6="accent6" hlink="hlink" folHlink="folHlink"/>
  <c:chart>
    <c:title>
      <c:tx>
        <c:rich>
          <a:bodyPr/>
          <a:lstStyle/>
          <a:p>
            <a:pPr algn="ctr" rtl="0">
              <a:defRPr lang="en-US" sz="1400" b="0" i="0" u="none" strike="noStrike" kern="1200" baseline="0">
                <a:solidFill>
                  <a:srgbClr val="12284C"/>
                </a:solidFill>
                <a:latin typeface="Open Sans Semibold" panose="020B0706030804020204" pitchFamily="34" charset="0"/>
                <a:ea typeface="Open Sans Semibold" panose="020B0706030804020204" pitchFamily="34" charset="0"/>
                <a:cs typeface="Open Sans Semibold" panose="020B0706030804020204" pitchFamily="34" charset="0"/>
              </a:defRPr>
            </a:pPr>
            <a:r>
              <a:rPr lang="en-US" sz="1400" b="0" i="0" u="none" strike="noStrike" kern="1200" baseline="0">
                <a:solidFill>
                  <a:srgbClr val="12284C"/>
                </a:solidFill>
                <a:latin typeface="Open Sans Semibold" panose="020B0706030804020204" pitchFamily="34" charset="0"/>
                <a:ea typeface="Open Sans Semibold" panose="020B0706030804020204" pitchFamily="34" charset="0"/>
                <a:cs typeface="Open Sans Semibold" panose="020B0706030804020204" pitchFamily="34" charset="0"/>
              </a:rPr>
              <a:t> </a:t>
            </a:r>
            <a:r>
              <a:rPr lang="en-US" sz="1400" b="0" i="0" u="none" strike="noStrike" kern="1200" baseline="0">
                <a:solidFill>
                  <a:srgbClr val="12284C"/>
                </a:solidFill>
                <a:latin typeface="Arial" panose="020B0604020202020204" pitchFamily="34" charset="0"/>
                <a:ea typeface="Open Sans Semibold" panose="020B0706030804020204" pitchFamily="34" charset="0"/>
                <a:cs typeface="Arial" panose="020B0604020202020204" pitchFamily="34" charset="0"/>
              </a:rPr>
              <a:t>Summary of General and Supplemental  General Fund Expenditures by Function</a:t>
            </a:r>
          </a:p>
        </c:rich>
      </c:tx>
      <c:overlay val="0"/>
    </c:title>
    <c:autoTitleDeleted val="0"/>
    <c:view3D>
      <c:rotX val="30"/>
      <c:rotY val="0"/>
      <c:rAngAx val="1"/>
    </c:view3D>
    <c:floor>
      <c:thickness val="0"/>
    </c:floor>
    <c:sideWall>
      <c:thickness val="0"/>
    </c:sideWall>
    <c:backWall>
      <c:thickness val="0"/>
    </c:backWall>
    <c:plotArea>
      <c:layout>
        <c:manualLayout>
          <c:layoutTarget val="inner"/>
          <c:xMode val="edge"/>
          <c:yMode val="edge"/>
          <c:x val="1.3523198241645184E-3"/>
          <c:y val="0.29642762076836715"/>
          <c:w val="0.85295348660482029"/>
          <c:h val="0.58120675425486823"/>
        </c:manualLayout>
      </c:layout>
      <c:pie3DChart>
        <c:varyColors val="1"/>
        <c:ser>
          <c:idx val="0"/>
          <c:order val="0"/>
          <c:tx>
            <c:strRef>
              <c:f>SUMEXPEN!$P$231</c:f>
              <c:strCache>
                <c:ptCount val="1"/>
                <c:pt idx="0">
                  <c:v>2025-2026</c:v>
                </c:pt>
              </c:strCache>
            </c:strRef>
          </c:tx>
          <c:dPt>
            <c:idx val="0"/>
            <c:bubble3D val="0"/>
            <c:spPr>
              <a:solidFill>
                <a:srgbClr val="FFA400"/>
              </a:solidFill>
              <a:ln>
                <a:solidFill>
                  <a:srgbClr val="D28700"/>
                </a:solidFill>
              </a:ln>
            </c:spPr>
            <c:extLst>
              <c:ext xmlns:c16="http://schemas.microsoft.com/office/drawing/2014/chart" uri="{C3380CC4-5D6E-409C-BE32-E72D297353CC}">
                <c16:uniqueId val="{00000001-6F08-487A-9C7A-02880EE3903F}"/>
              </c:ext>
            </c:extLst>
          </c:dPt>
          <c:dPt>
            <c:idx val="1"/>
            <c:bubble3D val="0"/>
            <c:spPr>
              <a:solidFill>
                <a:srgbClr val="12284C"/>
              </a:solidFill>
              <a:ln>
                <a:solidFill>
                  <a:srgbClr val="005587"/>
                </a:solidFill>
              </a:ln>
            </c:spPr>
            <c:extLst>
              <c:ext xmlns:c16="http://schemas.microsoft.com/office/drawing/2014/chart" uri="{C3380CC4-5D6E-409C-BE32-E72D297353CC}">
                <c16:uniqueId val="{00000002-6F08-487A-9C7A-02880EE3903F}"/>
              </c:ext>
            </c:extLst>
          </c:dPt>
          <c:dPt>
            <c:idx val="2"/>
            <c:bubble3D val="0"/>
            <c:spPr>
              <a:solidFill>
                <a:srgbClr val="00B796"/>
              </a:solidFill>
              <a:ln>
                <a:solidFill>
                  <a:srgbClr val="008269"/>
                </a:solidFill>
              </a:ln>
            </c:spPr>
            <c:extLst>
              <c:ext xmlns:c16="http://schemas.microsoft.com/office/drawing/2014/chart" uri="{C3380CC4-5D6E-409C-BE32-E72D297353CC}">
                <c16:uniqueId val="{00000003-6F08-487A-9C7A-02880EE3903F}"/>
              </c:ext>
            </c:extLst>
          </c:dPt>
          <c:dPt>
            <c:idx val="3"/>
            <c:bubble3D val="0"/>
            <c:spPr>
              <a:solidFill>
                <a:srgbClr val="D50032"/>
              </a:solidFill>
              <a:ln>
                <a:solidFill>
                  <a:srgbClr val="B7312C"/>
                </a:solidFill>
              </a:ln>
            </c:spPr>
            <c:extLst>
              <c:ext xmlns:c16="http://schemas.microsoft.com/office/drawing/2014/chart" uri="{C3380CC4-5D6E-409C-BE32-E72D297353CC}">
                <c16:uniqueId val="{00000000-6F08-487A-9C7A-02880EE3903F}"/>
              </c:ext>
            </c:extLst>
          </c:dPt>
          <c:dPt>
            <c:idx val="4"/>
            <c:bubble3D val="0"/>
            <c:spPr>
              <a:solidFill>
                <a:srgbClr val="D28700"/>
              </a:solidFill>
              <a:ln>
                <a:solidFill>
                  <a:srgbClr val="FFA400"/>
                </a:solidFill>
              </a:ln>
            </c:spPr>
            <c:extLst>
              <c:ext xmlns:c16="http://schemas.microsoft.com/office/drawing/2014/chart" uri="{C3380CC4-5D6E-409C-BE32-E72D297353CC}">
                <c16:uniqueId val="{00000004-6F08-487A-9C7A-02880EE3903F}"/>
              </c:ext>
            </c:extLst>
          </c:dPt>
          <c:dPt>
            <c:idx val="5"/>
            <c:bubble3D val="0"/>
            <c:spPr>
              <a:solidFill>
                <a:srgbClr val="53565A"/>
              </a:solidFill>
              <a:ln>
                <a:solidFill>
                  <a:sysClr val="windowText" lastClr="000000"/>
                </a:solidFill>
              </a:ln>
            </c:spPr>
            <c:extLst>
              <c:ext xmlns:c16="http://schemas.microsoft.com/office/drawing/2014/chart" uri="{C3380CC4-5D6E-409C-BE32-E72D297353CC}">
                <c16:uniqueId val="{00000005-6F08-487A-9C7A-02880EE3903F}"/>
              </c:ext>
            </c:extLst>
          </c:dPt>
          <c:dPt>
            <c:idx val="6"/>
            <c:bubble3D val="0"/>
            <c:spPr>
              <a:solidFill>
                <a:srgbClr val="008269"/>
              </a:solidFill>
              <a:ln>
                <a:solidFill>
                  <a:srgbClr val="00B796"/>
                </a:solidFill>
              </a:ln>
            </c:spPr>
            <c:extLst>
              <c:ext xmlns:c16="http://schemas.microsoft.com/office/drawing/2014/chart" uri="{C3380CC4-5D6E-409C-BE32-E72D297353CC}">
                <c16:uniqueId val="{00000006-6F08-487A-9C7A-02880EE3903F}"/>
              </c:ext>
            </c:extLst>
          </c:dPt>
          <c:dPt>
            <c:idx val="7"/>
            <c:bubble3D val="0"/>
            <c:spPr>
              <a:solidFill>
                <a:srgbClr val="D28700"/>
              </a:solidFill>
              <a:ln>
                <a:solidFill>
                  <a:sysClr val="windowText" lastClr="000000"/>
                </a:solidFill>
              </a:ln>
            </c:spPr>
            <c:extLst>
              <c:ext xmlns:c16="http://schemas.microsoft.com/office/drawing/2014/chart" uri="{C3380CC4-5D6E-409C-BE32-E72D297353CC}">
                <c16:uniqueId val="{00000007-6F08-487A-9C7A-02880EE3903F}"/>
              </c:ext>
            </c:extLst>
          </c:dPt>
          <c:dPt>
            <c:idx val="8"/>
            <c:bubble3D val="0"/>
            <c:spPr>
              <a:solidFill>
                <a:srgbClr val="008269"/>
              </a:solidFill>
              <a:ln>
                <a:solidFill>
                  <a:sysClr val="windowText" lastClr="000000"/>
                </a:solidFill>
              </a:ln>
            </c:spPr>
            <c:extLst>
              <c:ext xmlns:c16="http://schemas.microsoft.com/office/drawing/2014/chart" uri="{C3380CC4-5D6E-409C-BE32-E72D297353CC}">
                <c16:uniqueId val="{0000000E-6CF0-484D-9AFC-2C5FE0CAB48D}"/>
              </c:ext>
            </c:extLst>
          </c:dPt>
          <c:dPt>
            <c:idx val="9"/>
            <c:bubble3D val="0"/>
            <c:spPr>
              <a:solidFill>
                <a:srgbClr val="C2C4C6"/>
              </a:solidFill>
              <a:ln>
                <a:solidFill>
                  <a:sysClr val="windowText" lastClr="000000"/>
                </a:solidFill>
              </a:ln>
            </c:spPr>
            <c:extLst>
              <c:ext xmlns:c16="http://schemas.microsoft.com/office/drawing/2014/chart" uri="{C3380CC4-5D6E-409C-BE32-E72D297353CC}">
                <c16:uniqueId val="{00000012-A327-4503-9607-4AB1FB504017}"/>
              </c:ext>
            </c:extLst>
          </c:dPt>
          <c:dPt>
            <c:idx val="10"/>
            <c:bubble3D val="0"/>
            <c:spPr>
              <a:solidFill>
                <a:srgbClr val="FFCE75"/>
              </a:solidFill>
              <a:ln>
                <a:solidFill>
                  <a:sysClr val="windowText" lastClr="000000"/>
                </a:solidFill>
              </a:ln>
            </c:spPr>
            <c:extLst>
              <c:ext xmlns:c16="http://schemas.microsoft.com/office/drawing/2014/chart" uri="{C3380CC4-5D6E-409C-BE32-E72D297353CC}">
                <c16:uniqueId val="{00000027-B5E0-4308-B498-E4E34FEF13DC}"/>
              </c:ext>
            </c:extLst>
          </c:dPt>
          <c:dPt>
            <c:idx val="11"/>
            <c:bubble3D val="0"/>
            <c:spPr>
              <a:solidFill>
                <a:srgbClr val="070F1B"/>
              </a:solidFill>
              <a:ln>
                <a:solidFill>
                  <a:sysClr val="windowText" lastClr="000000"/>
                </a:solidFill>
              </a:ln>
            </c:spPr>
            <c:extLst>
              <c:ext xmlns:c16="http://schemas.microsoft.com/office/drawing/2014/chart" uri="{C3380CC4-5D6E-409C-BE32-E72D297353CC}">
                <c16:uniqueId val="{00000028-B5E0-4308-B498-E4E34FEF13DC}"/>
              </c:ext>
            </c:extLst>
          </c:dPt>
          <c:dPt>
            <c:idx val="12"/>
            <c:bubble3D val="0"/>
            <c:spPr>
              <a:solidFill>
                <a:srgbClr val="7F241F"/>
              </a:solidFill>
              <a:ln>
                <a:solidFill>
                  <a:sysClr val="windowText" lastClr="000000"/>
                </a:solidFill>
              </a:ln>
            </c:spPr>
            <c:extLst>
              <c:ext xmlns:c16="http://schemas.microsoft.com/office/drawing/2014/chart" uri="{C3380CC4-5D6E-409C-BE32-E72D297353CC}">
                <c16:uniqueId val="{00000029-B5E0-4308-B498-E4E34FEF13DC}"/>
              </c:ext>
            </c:extLst>
          </c:dPt>
          <c:dPt>
            <c:idx val="13"/>
            <c:bubble3D val="0"/>
            <c:spPr>
              <a:solidFill>
                <a:srgbClr val="383A3C"/>
              </a:solidFill>
              <a:ln>
                <a:solidFill>
                  <a:sysClr val="windowText" lastClr="000000"/>
                </a:solidFill>
              </a:ln>
            </c:spPr>
            <c:extLst>
              <c:ext xmlns:c16="http://schemas.microsoft.com/office/drawing/2014/chart" uri="{C3380CC4-5D6E-409C-BE32-E72D297353CC}">
                <c16:uniqueId val="{0000002A-B5E0-4308-B498-E4E34FEF13DC}"/>
              </c:ext>
            </c:extLst>
          </c:dPt>
          <c:dLbls>
            <c:dLbl>
              <c:idx val="0"/>
              <c:layout>
                <c:manualLayout>
                  <c:x val="-2.7625874667906837E-3"/>
                  <c:y val="-7.9882047770468201E-2"/>
                </c:manualLayout>
              </c:layout>
              <c:tx>
                <c:rich>
                  <a:bodyPr/>
                  <a:lstStyle/>
                  <a:p>
                    <a:fld id="{758DF93D-4EB0-4B60-B556-912BFCB5EC6F}" type="CELLRANGE">
                      <a:rPr lang="en-US" baseline="0"/>
                      <a:pPr/>
                      <a:t>[CELLRANGE]</a:t>
                    </a:fld>
                    <a:r>
                      <a:rPr lang="en-US" baseline="0"/>
                      <a:t>
</a:t>
                    </a:r>
                    <a:fld id="{15986501-BA7C-4D79-A4DC-5EE306156BC1}" type="VALUE">
                      <a:rPr lang="en-US" baseline="0"/>
                      <a:pPr/>
                      <a:t>[VALUE]</a:t>
                    </a:fld>
                    <a:endParaRPr lang="en-US" baseline="0"/>
                  </a:p>
                </c:rich>
              </c:tx>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1-6F08-487A-9C7A-02880EE3903F}"/>
                </c:ext>
              </c:extLst>
            </c:dLbl>
            <c:dLbl>
              <c:idx val="1"/>
              <c:layout>
                <c:manualLayout>
                  <c:x val="3.0114822821496012E-3"/>
                  <c:y val="3.9909162338782313E-2"/>
                </c:manualLayout>
              </c:layout>
              <c:tx>
                <c:rich>
                  <a:bodyPr/>
                  <a:lstStyle/>
                  <a:p>
                    <a:endParaRPr lang="en-US" baseline="0"/>
                  </a:p>
                </c:rich>
              </c:tx>
              <c:showLegendKey val="0"/>
              <c:showVal val="1"/>
              <c:showCatName val="0"/>
              <c:showSerName val="0"/>
              <c:showPercent val="0"/>
              <c:showBubbleSize val="0"/>
              <c:separator>
</c:separator>
              <c:extLst>
                <c:ext xmlns:c15="http://schemas.microsoft.com/office/drawing/2012/chart" uri="{CE6537A1-D6FC-4f65-9D91-7224C49458BB}">
                  <c15:showDataLabelsRange val="1"/>
                </c:ext>
                <c:ext xmlns:c16="http://schemas.microsoft.com/office/drawing/2014/chart" uri="{C3380CC4-5D6E-409C-BE32-E72D297353CC}">
                  <c16:uniqueId val="{00000002-6F08-487A-9C7A-02880EE3903F}"/>
                </c:ext>
              </c:extLst>
            </c:dLbl>
            <c:dLbl>
              <c:idx val="2"/>
              <c:layout>
                <c:manualLayout>
                  <c:x val="-9.6101652123143921E-2"/>
                  <c:y val="3.1290923260701535E-2"/>
                </c:manualLayout>
              </c:layout>
              <c:tx>
                <c:rich>
                  <a:bodyPr/>
                  <a:lstStyle/>
                  <a:p>
                    <a:endParaRPr lang="en-US" baseline="0"/>
                  </a:p>
                </c:rich>
              </c:tx>
              <c:showLegendKey val="0"/>
              <c:showVal val="1"/>
              <c:showCatName val="0"/>
              <c:showSerName val="0"/>
              <c:showPercent val="0"/>
              <c:showBubbleSize val="0"/>
              <c:separator>
</c:separator>
              <c:extLst>
                <c:ext xmlns:c15="http://schemas.microsoft.com/office/drawing/2012/chart" uri="{CE6537A1-D6FC-4f65-9D91-7224C49458BB}">
                  <c15:showDataLabelsRange val="1"/>
                </c:ext>
                <c:ext xmlns:c16="http://schemas.microsoft.com/office/drawing/2014/chart" uri="{C3380CC4-5D6E-409C-BE32-E72D297353CC}">
                  <c16:uniqueId val="{00000003-6F08-487A-9C7A-02880EE3903F}"/>
                </c:ext>
              </c:extLst>
            </c:dLbl>
            <c:dLbl>
              <c:idx val="3"/>
              <c:layout>
                <c:manualLayout>
                  <c:x val="-8.3072233706257659E-2"/>
                  <c:y val="-0.12017065598589526"/>
                </c:manualLayout>
              </c:layout>
              <c:tx>
                <c:rich>
                  <a:bodyPr/>
                  <a:lstStyle/>
                  <a:p>
                    <a:fld id="{0AA11C15-483A-4F08-9FE5-296631905830}" type="CELLRANGE">
                      <a:rPr lang="en-US" baseline="0"/>
                      <a:pPr/>
                      <a:t>[CELLRANGE]</a:t>
                    </a:fld>
                    <a:r>
                      <a:rPr lang="en-US" baseline="0"/>
                      <a:t>
</a:t>
                    </a:r>
                    <a:fld id="{A0632076-FAE4-452D-BCF2-76F25EB3CD51}" type="VALUE">
                      <a:rPr lang="en-US" baseline="0"/>
                      <a:pPr/>
                      <a:t>[VALUE]</a:t>
                    </a:fld>
                    <a:endParaRPr lang="en-US" baseline="0"/>
                  </a:p>
                </c:rich>
              </c:tx>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0-6F08-487A-9C7A-02880EE3903F}"/>
                </c:ext>
              </c:extLst>
            </c:dLbl>
            <c:dLbl>
              <c:idx val="4"/>
              <c:layout>
                <c:manualLayout>
                  <c:x val="-5.2446730731804822E-2"/>
                  <c:y val="-3.4949928560629777E-2"/>
                </c:manualLayout>
              </c:layout>
              <c:tx>
                <c:rich>
                  <a:bodyPr/>
                  <a:lstStyle/>
                  <a:p>
                    <a:fld id="{48A7B6D5-7BF8-4FD8-9C80-043D9BDB05C1}" type="CELLRANGE">
                      <a:rPr lang="en-US" baseline="0"/>
                      <a:pPr/>
                      <a:t>[CELLRANGE]</a:t>
                    </a:fld>
                    <a:r>
                      <a:rPr lang="en-US" baseline="0"/>
                      <a:t>
</a:t>
                    </a:r>
                    <a:fld id="{531A80E7-38ED-435B-90D4-109429E08D90}" type="VALUE">
                      <a:rPr lang="en-US" baseline="0"/>
                      <a:pPr/>
                      <a:t>[VALUE]</a:t>
                    </a:fld>
                    <a:endParaRPr lang="en-US" baseline="0"/>
                  </a:p>
                </c:rich>
              </c:tx>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4-6F08-487A-9C7A-02880EE3903F}"/>
                </c:ext>
              </c:extLst>
            </c:dLbl>
            <c:dLbl>
              <c:idx val="5"/>
              <c:layout>
                <c:manualLayout>
                  <c:x val="-7.4115159452763793E-3"/>
                  <c:y val="-0.116410240849692"/>
                </c:manualLayout>
              </c:layout>
              <c:tx>
                <c:rich>
                  <a:bodyPr/>
                  <a:lstStyle/>
                  <a:p>
                    <a:fld id="{8C67390B-3AA5-4505-81F9-B228A915986A}" type="CELLRANGE">
                      <a:rPr lang="en-US" baseline="0"/>
                      <a:pPr/>
                      <a:t>[CELLRANGE]</a:t>
                    </a:fld>
                    <a:r>
                      <a:rPr lang="en-US" baseline="0"/>
                      <a:t>
</a:t>
                    </a:r>
                    <a:fld id="{98F4169A-3888-4B14-8EDC-45D32F1F63AC}" type="VALUE">
                      <a:rPr lang="en-US" baseline="0"/>
                      <a:pPr/>
                      <a:t>[VALUE]</a:t>
                    </a:fld>
                    <a:endParaRPr lang="en-US" baseline="0"/>
                  </a:p>
                </c:rich>
              </c:tx>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5-6F08-487A-9C7A-02880EE3903F}"/>
                </c:ext>
              </c:extLst>
            </c:dLbl>
            <c:dLbl>
              <c:idx val="6"/>
              <c:layout>
                <c:manualLayout>
                  <c:x val="6.1614515119477797E-2"/>
                  <c:y val="-5.6098803523632487E-2"/>
                </c:manualLayout>
              </c:layout>
              <c:tx>
                <c:rich>
                  <a:bodyPr/>
                  <a:lstStyle/>
                  <a:p>
                    <a:endParaRPr lang="en-US" baseline="0"/>
                  </a:p>
                </c:rich>
              </c:tx>
              <c:showLegendKey val="0"/>
              <c:showVal val="1"/>
              <c:showCatName val="0"/>
              <c:showSerName val="0"/>
              <c:showPercent val="0"/>
              <c:showBubbleSize val="0"/>
              <c:separator>
</c:separator>
              <c:extLst>
                <c:ext xmlns:c15="http://schemas.microsoft.com/office/drawing/2012/chart" uri="{CE6537A1-D6FC-4f65-9D91-7224C49458BB}">
                  <c15:showDataLabelsRange val="0"/>
                </c:ext>
                <c:ext xmlns:c16="http://schemas.microsoft.com/office/drawing/2014/chart" uri="{C3380CC4-5D6E-409C-BE32-E72D297353CC}">
                  <c16:uniqueId val="{00000006-6F08-487A-9C7A-02880EE3903F}"/>
                </c:ext>
              </c:extLst>
            </c:dLbl>
            <c:dLbl>
              <c:idx val="7"/>
              <c:layout>
                <c:manualLayout>
                  <c:x val="9.5385574298202699E-2"/>
                  <c:y val="-8.8211918344054577E-2"/>
                </c:manualLayout>
              </c:layout>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7-6F08-487A-9C7A-02880EE3903F}"/>
                </c:ext>
              </c:extLst>
            </c:dLbl>
            <c:spPr>
              <a:noFill/>
              <a:ln>
                <a:noFill/>
              </a:ln>
              <a:effectLst/>
            </c:spPr>
            <c:txPr>
              <a:bodyPr wrap="square" lIns="38100" tIns="19050" rIns="38100" bIns="19050" anchor="ctr">
                <a:spAutoFit/>
              </a:bodyPr>
              <a:lstStyle/>
              <a:p>
                <a:pPr>
                  <a:defRPr sz="900">
                    <a:solidFill>
                      <a:sysClr val="windowText" lastClr="000000"/>
                    </a:solidFill>
                    <a:latin typeface="Arial" panose="020B0604020202020204" pitchFamily="34" charset="0"/>
                    <a:ea typeface="Open Sans Light" panose="020B0306030504020204" pitchFamily="34" charset="0"/>
                    <a:cs typeface="Arial" panose="020B0604020202020204" pitchFamily="34" charset="0"/>
                  </a:defRPr>
                </a:pPr>
                <a:endParaRPr lang="en-US"/>
              </a:p>
            </c:txPr>
            <c:showLegendKey val="0"/>
            <c:showVal val="1"/>
            <c:showCatName val="0"/>
            <c:showSerName val="0"/>
            <c:showPercent val="0"/>
            <c:showBubbleSize val="0"/>
            <c:separator>
</c:separator>
            <c:showLeaderLines val="1"/>
            <c:extLst>
              <c:ext xmlns:c15="http://schemas.microsoft.com/office/drawing/2012/chart" uri="{CE6537A1-D6FC-4f65-9D91-7224C49458BB}">
                <c15:showDataLabelsRange val="1"/>
              </c:ext>
            </c:extLst>
          </c:dLbls>
          <c:cat>
            <c:strRef>
              <c:f>(SUMEXPEN!$O$232:$O$237,SUMEXPEN!$O$239)</c:f>
              <c:strCache>
                <c:ptCount val="7"/>
                <c:pt idx="0">
                  <c:v>Instruction: 46%</c:v>
                </c:pt>
                <c:pt idx="1">
                  <c:v>Student Support: 0%</c:v>
                </c:pt>
                <c:pt idx="2">
                  <c:v>Instructional Support: &lt;1%</c:v>
                </c:pt>
                <c:pt idx="3">
                  <c:v>Administration &amp; Support: 19%</c:v>
                </c:pt>
                <c:pt idx="4">
                  <c:v>Operations &amp; Maintenance: 29%</c:v>
                </c:pt>
                <c:pt idx="5">
                  <c:v>Transportation: 5%</c:v>
                </c:pt>
                <c:pt idx="6">
                  <c:v>Other Costs: 0%</c:v>
                </c:pt>
              </c:strCache>
            </c:strRef>
          </c:cat>
          <c:val>
            <c:numRef>
              <c:f>(SUMEXPEN!$P$232:$P$237,SUMEXPEN!$P$239)</c:f>
              <c:numCache>
                <c:formatCode>0%</c:formatCode>
                <c:ptCount val="7"/>
                <c:pt idx="0">
                  <c:v>0.46</c:v>
                </c:pt>
                <c:pt idx="1">
                  <c:v>#N/A</c:v>
                </c:pt>
                <c:pt idx="2">
                  <c:v>#N/A</c:v>
                </c:pt>
                <c:pt idx="3">
                  <c:v>0.19</c:v>
                </c:pt>
                <c:pt idx="4">
                  <c:v>0.28999999999999998</c:v>
                </c:pt>
                <c:pt idx="5">
                  <c:v>0.05</c:v>
                </c:pt>
                <c:pt idx="6">
                  <c:v>#N/A</c:v>
                </c:pt>
              </c:numCache>
            </c:numRef>
          </c:val>
          <c:extLst>
            <c:ext xmlns:c15="http://schemas.microsoft.com/office/drawing/2012/chart" uri="{02D57815-91ED-43cb-92C2-25804820EDAC}">
              <c15:datalabelsRange>
                <c15:f>(SUMEXPEN!$Q$232:$Q$237,SUMEXPEN!$Q$239)</c15:f>
                <c15:dlblRangeCache>
                  <c:ptCount val="7"/>
                  <c:pt idx="0">
                    <c:v>Instruction</c:v>
                  </c:pt>
                  <c:pt idx="1">
                    <c:v>Student Support</c:v>
                  </c:pt>
                  <c:pt idx="2">
                    <c:v>Instructional Support</c:v>
                  </c:pt>
                  <c:pt idx="3">
                    <c:v>Administration &amp; Support</c:v>
                  </c:pt>
                  <c:pt idx="4">
                    <c:v>Operations &amp; Maintenance</c:v>
                  </c:pt>
                  <c:pt idx="5">
                    <c:v>Transportation</c:v>
                  </c:pt>
                  <c:pt idx="6">
                    <c:v>Other Costs</c:v>
                  </c:pt>
                </c15:dlblRangeCache>
              </c15:datalabelsRange>
            </c:ext>
            <c:ext xmlns:c16="http://schemas.microsoft.com/office/drawing/2014/chart" uri="{C3380CC4-5D6E-409C-BE32-E72D297353CC}">
              <c16:uniqueId val="{00000000-5C91-4ED5-A85B-5F66A849B5EA}"/>
            </c:ext>
          </c:extLst>
        </c:ser>
        <c:dLbls>
          <c:showLegendKey val="0"/>
          <c:showVal val="0"/>
          <c:showCatName val="1"/>
          <c:showSerName val="0"/>
          <c:showPercent val="1"/>
          <c:showBubbleSize val="0"/>
          <c:showLeaderLines val="1"/>
        </c:dLbls>
      </c:pie3DChart>
    </c:plotArea>
    <c:legend>
      <c:legendPos val="r"/>
      <c:layout>
        <c:manualLayout>
          <c:xMode val="edge"/>
          <c:yMode val="edge"/>
          <c:x val="0.76452320408723951"/>
          <c:y val="0.14634665001152475"/>
          <c:w val="0.23547679591276036"/>
          <c:h val="0.8536533499884752"/>
        </c:manualLayout>
      </c:layout>
      <c:overlay val="0"/>
      <c:txPr>
        <a:bodyPr/>
        <a:lstStyle/>
        <a:p>
          <a:pPr>
            <a:defRPr sz="900" baseline="0">
              <a:latin typeface="Arial" panose="020B0604020202020204" pitchFamily="34" charset="0"/>
              <a:ea typeface="Open Sans Light" panose="020B0306030504020204" pitchFamily="34" charset="0"/>
              <a:cs typeface="Arial" panose="020B0604020202020204" pitchFamily="34" charset="0"/>
            </a:defRPr>
          </a:pPr>
          <a:endParaRPr lang="en-US"/>
        </a:p>
      </c:txPr>
    </c:legend>
    <c:plotVisOnly val="1"/>
    <c:dispBlanksAs val="gap"/>
    <c:showDLblsOverMax val="0"/>
  </c:chart>
  <c:spPr>
    <a:noFill/>
    <a:ln>
      <a:solidFill>
        <a:srgbClr val="53565A"/>
      </a:solidFill>
    </a:ln>
  </c:spPr>
  <c:printSettings>
    <c:headerFooter alignWithMargins="0"/>
    <c:pageMargins b="0.5" l="0.25" r="0.25" t="0.5" header="0.3" footer="0.3"/>
    <c:pageSetup orientation="landscape"/>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34"/>
    </mc:Choice>
    <mc:Fallback>
      <c:style val="34"/>
    </mc:Fallback>
  </mc:AlternateContent>
  <c:clrMapOvr bg1="lt1" tx1="dk1" bg2="lt2" tx2="dk2" accent1="accent1" accent2="accent2" accent3="accent3" accent4="accent4" accent5="accent5" accent6="accent6" hlink="hlink" folHlink="folHlink"/>
  <c:chart>
    <c:title>
      <c:tx>
        <c:rich>
          <a:bodyPr/>
          <a:lstStyle/>
          <a:p>
            <a:pPr algn="ctr" rtl="0">
              <a:defRPr lang="en-US" sz="1400" b="0" i="0" u="none" strike="noStrike" kern="1200" baseline="0">
                <a:solidFill>
                  <a:srgbClr val="D50032"/>
                </a:solidFill>
                <a:latin typeface="Open Sans Semibold" panose="020B0706030804020204" pitchFamily="34" charset="0"/>
                <a:ea typeface="Open Sans Semibold" panose="020B0706030804020204" pitchFamily="34" charset="0"/>
                <a:cs typeface="Open Sans Semibold" panose="020B0706030804020204" pitchFamily="34" charset="0"/>
              </a:defRPr>
            </a:pPr>
            <a:r>
              <a:rPr lang="en-US" sz="1400" b="0" i="0" u="none" strike="noStrike" kern="1200" baseline="0">
                <a:solidFill>
                  <a:srgbClr val="D50032"/>
                </a:solidFill>
                <a:latin typeface="Arial" panose="020B0604020202020204" pitchFamily="34" charset="0"/>
                <a:ea typeface="Open Sans Semibold" panose="020B0706030804020204" pitchFamily="34" charset="0"/>
                <a:cs typeface="Arial" panose="020B0604020202020204" pitchFamily="34" charset="0"/>
              </a:rPr>
              <a:t>Summary of Special Education Fund by Function</a:t>
            </a:r>
          </a:p>
        </c:rich>
      </c:tx>
      <c:overlay val="0"/>
    </c:title>
    <c:autoTitleDeleted val="0"/>
    <c:view3D>
      <c:rotX val="15"/>
      <c:rotY val="20"/>
      <c:depthPercent val="100"/>
      <c:rAngAx val="1"/>
    </c:view3D>
    <c:floor>
      <c:thickness val="0"/>
      <c:spPr>
        <a:gradFill flip="none" rotWithShape="1">
          <a:gsLst>
            <a:gs pos="0">
              <a:srgbClr val="12284C">
                <a:lumMod val="5000"/>
                <a:lumOff val="95000"/>
              </a:srgbClr>
            </a:gs>
            <a:gs pos="74000">
              <a:srgbClr val="12284C">
                <a:lumMod val="45000"/>
                <a:lumOff val="55000"/>
              </a:srgbClr>
            </a:gs>
            <a:gs pos="83000">
              <a:srgbClr val="12284C">
                <a:lumMod val="45000"/>
                <a:lumOff val="55000"/>
              </a:srgbClr>
            </a:gs>
            <a:gs pos="100000">
              <a:srgbClr val="12284C">
                <a:lumMod val="30000"/>
                <a:lumOff val="70000"/>
              </a:srgbClr>
            </a:gs>
          </a:gsLst>
          <a:path path="circle">
            <a:fillToRect l="100000" t="100000"/>
          </a:path>
          <a:tileRect r="-100000" b="-100000"/>
        </a:gradFill>
        <a:ln>
          <a:solidFill>
            <a:srgbClr val="12284C"/>
          </a:solidFill>
        </a:ln>
      </c:spPr>
    </c:floor>
    <c:sideWall>
      <c:thickness val="0"/>
      <c:spPr>
        <a:gradFill flip="none" rotWithShape="1">
          <a:gsLst>
            <a:gs pos="0">
              <a:srgbClr val="12284C">
                <a:lumMod val="5000"/>
                <a:lumOff val="95000"/>
              </a:srgbClr>
            </a:gs>
            <a:gs pos="74000">
              <a:srgbClr val="12284C">
                <a:lumMod val="45000"/>
                <a:lumOff val="55000"/>
              </a:srgbClr>
            </a:gs>
            <a:gs pos="83000">
              <a:srgbClr val="12284C">
                <a:lumMod val="45000"/>
                <a:lumOff val="55000"/>
              </a:srgbClr>
            </a:gs>
            <a:gs pos="100000">
              <a:srgbClr val="12284C">
                <a:lumMod val="30000"/>
                <a:lumOff val="70000"/>
              </a:srgbClr>
            </a:gs>
          </a:gsLst>
          <a:path path="circle">
            <a:fillToRect l="100000" t="100000"/>
          </a:path>
          <a:tileRect r="-100000" b="-100000"/>
        </a:gradFill>
        <a:ln>
          <a:solidFill>
            <a:srgbClr val="12284C"/>
          </a:solidFill>
        </a:ln>
      </c:spPr>
    </c:sideWall>
    <c:backWall>
      <c:thickness val="0"/>
      <c:spPr>
        <a:gradFill flip="none" rotWithShape="1">
          <a:gsLst>
            <a:gs pos="0">
              <a:srgbClr val="12284C">
                <a:lumMod val="5000"/>
                <a:lumOff val="95000"/>
              </a:srgbClr>
            </a:gs>
            <a:gs pos="74000">
              <a:srgbClr val="12284C">
                <a:lumMod val="45000"/>
                <a:lumOff val="55000"/>
              </a:srgbClr>
            </a:gs>
            <a:gs pos="83000">
              <a:srgbClr val="12284C">
                <a:lumMod val="45000"/>
                <a:lumOff val="55000"/>
              </a:srgbClr>
            </a:gs>
            <a:gs pos="100000">
              <a:srgbClr val="12284C">
                <a:lumMod val="30000"/>
                <a:lumOff val="70000"/>
              </a:srgbClr>
            </a:gs>
          </a:gsLst>
          <a:path path="circle">
            <a:fillToRect l="100000" t="100000"/>
          </a:path>
          <a:tileRect r="-100000" b="-100000"/>
        </a:gradFill>
        <a:ln>
          <a:solidFill>
            <a:srgbClr val="12284C"/>
          </a:solidFill>
        </a:ln>
      </c:spPr>
    </c:backWall>
    <c:plotArea>
      <c:layout>
        <c:manualLayout>
          <c:layoutTarget val="inner"/>
          <c:xMode val="edge"/>
          <c:yMode val="edge"/>
          <c:x val="7.2835046345621199E-2"/>
          <c:y val="0.13407672863944212"/>
          <c:w val="0.82797458008469327"/>
          <c:h val="0.67600980300818814"/>
        </c:manualLayout>
      </c:layout>
      <c:bar3DChart>
        <c:barDir val="col"/>
        <c:grouping val="clustered"/>
        <c:varyColors val="0"/>
        <c:ser>
          <c:idx val="0"/>
          <c:order val="0"/>
          <c:tx>
            <c:strRef>
              <c:f>SUMEXPEN!$P$284</c:f>
              <c:strCache>
                <c:ptCount val="1"/>
                <c:pt idx="0">
                  <c:v>2023-2024</c:v>
                </c:pt>
              </c:strCache>
            </c:strRef>
          </c:tx>
          <c:spPr>
            <a:solidFill>
              <a:srgbClr val="FFA400"/>
            </a:solidFill>
            <a:ln>
              <a:solidFill>
                <a:srgbClr val="D28700"/>
              </a:solidFill>
            </a:ln>
          </c:spPr>
          <c:invertIfNegative val="0"/>
          <c:dLbls>
            <c:dLbl>
              <c:idx val="0"/>
              <c:layout>
                <c:manualLayout>
                  <c:x val="-2.7293364173900086E-3"/>
                  <c:y val="-8.1510395156591517E-2"/>
                </c:manualLayout>
              </c:layout>
              <c:spPr>
                <a:noFill/>
                <a:ln>
                  <a:noFill/>
                </a:ln>
                <a:effectLst/>
              </c:spPr>
              <c:txPr>
                <a:bodyPr rot="-5400000" vertOverflow="clip" horzOverflow="clip" vert="horz" wrap="square" lIns="0" tIns="0" rIns="0" bIns="0" numCol="1" spcCol="0" anchor="ctr" anchorCtr="0">
                  <a:noAutofit/>
                </a:bodyPr>
                <a:lstStyle/>
                <a:p>
                  <a:pPr algn="l">
                    <a:defRPr sz="900">
                      <a:latin typeface="Arial" panose="020B0604020202020204" pitchFamily="34" charset="0"/>
                      <a:ea typeface="Open Sans Light" panose="020B0306030504020204" pitchFamily="34" charset="0"/>
                      <a:cs typeface="Arial" panose="020B0604020202020204" pitchFamily="34" charset="0"/>
                    </a:defRPr>
                  </a:pPr>
                  <a:endParaRPr lang="en-US"/>
                </a:p>
              </c:txPr>
              <c:showLegendKey val="0"/>
              <c:showVal val="1"/>
              <c:showCatName val="0"/>
              <c:showSerName val="0"/>
              <c:showPercent val="0"/>
              <c:showBubbleSize val="0"/>
              <c:extLst>
                <c:ext xmlns:c15="http://schemas.microsoft.com/office/drawing/2012/chart" uri="{CE6537A1-D6FC-4f65-9D91-7224C49458BB}">
                  <c15:layout>
                    <c:manualLayout>
                      <c:w val="8.2231374097685078E-2"/>
                      <c:h val="6.763604785366191E-2"/>
                    </c:manualLayout>
                  </c15:layout>
                </c:ext>
                <c:ext xmlns:c16="http://schemas.microsoft.com/office/drawing/2014/chart" uri="{C3380CC4-5D6E-409C-BE32-E72D297353CC}">
                  <c16:uniqueId val="{00000000-8A83-4DA7-9913-C7DA935F625B}"/>
                </c:ext>
              </c:extLst>
            </c:dLbl>
            <c:spPr>
              <a:noFill/>
              <a:ln>
                <a:noFill/>
              </a:ln>
              <a:effectLst/>
            </c:spPr>
            <c:txPr>
              <a:bodyPr rot="-5400000" vertOverflow="clip" horzOverflow="clip" vert="horz" wrap="square" lIns="0" tIns="0" rIns="0" bIns="0" numCol="1" spcCol="0" anchor="ctr" anchorCtr="0">
                <a:spAutoFit/>
              </a:bodyPr>
              <a:lstStyle/>
              <a:p>
                <a:pPr algn="l">
                  <a:defRPr sz="900">
                    <a:latin typeface="Arial" panose="020B0604020202020204" pitchFamily="34" charset="0"/>
                    <a:ea typeface="Open Sans Light" panose="020B0306030504020204" pitchFamily="34" charset="0"/>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cat>
            <c:strRef>
              <c:f>(SUMEXPEN!$O$285:$O$290,SUMEXPEN!$O$292)</c:f>
              <c:strCache>
                <c:ptCount val="1"/>
                <c:pt idx="0">
                  <c:v>Instruction</c:v>
                </c:pt>
              </c:strCache>
            </c:strRef>
          </c:cat>
          <c:val>
            <c:numRef>
              <c:f>(SUMEXPEN!$P$285:$P$290,SUMEXPEN!$P$292)</c:f>
              <c:numCache>
                <c:formatCode>"$"#,##0</c:formatCode>
                <c:ptCount val="7"/>
                <c:pt idx="0">
                  <c:v>157021</c:v>
                </c:pt>
                <c:pt idx="1">
                  <c:v>#N/A</c:v>
                </c:pt>
                <c:pt idx="2">
                  <c:v>#N/A</c:v>
                </c:pt>
                <c:pt idx="3">
                  <c:v>#N/A</c:v>
                </c:pt>
                <c:pt idx="4">
                  <c:v>#N/A</c:v>
                </c:pt>
                <c:pt idx="5">
                  <c:v>#N/A</c:v>
                </c:pt>
                <c:pt idx="6">
                  <c:v>#N/A</c:v>
                </c:pt>
              </c:numCache>
            </c:numRef>
          </c:val>
          <c:extLst>
            <c:ext xmlns:c16="http://schemas.microsoft.com/office/drawing/2014/chart" uri="{C3380CC4-5D6E-409C-BE32-E72D297353CC}">
              <c16:uniqueId val="{00000000-03ED-42F9-B639-8C83BB0EB494}"/>
            </c:ext>
          </c:extLst>
        </c:ser>
        <c:ser>
          <c:idx val="1"/>
          <c:order val="1"/>
          <c:tx>
            <c:strRef>
              <c:f>SUMEXPEN!$Q$284</c:f>
              <c:strCache>
                <c:ptCount val="1"/>
                <c:pt idx="0">
                  <c:v>2024-2025</c:v>
                </c:pt>
              </c:strCache>
            </c:strRef>
          </c:tx>
          <c:spPr>
            <a:solidFill>
              <a:srgbClr val="D50032"/>
            </a:solidFill>
            <a:ln>
              <a:solidFill>
                <a:srgbClr val="B7312C"/>
              </a:solidFill>
            </a:ln>
          </c:spPr>
          <c:invertIfNegative val="0"/>
          <c:dLbls>
            <c:dLbl>
              <c:idx val="0"/>
              <c:layout>
                <c:manualLayout>
                  <c:x val="5.3729210153746133E-8"/>
                  <c:y val="-9.2142185829190371E-2"/>
                </c:manualLayout>
              </c:layout>
              <c:spPr>
                <a:noFill/>
                <a:ln>
                  <a:noFill/>
                </a:ln>
                <a:effectLst/>
              </c:spPr>
              <c:txPr>
                <a:bodyPr rot="-5400000" vertOverflow="clip" horzOverflow="clip" vert="horz" wrap="square" lIns="38100" tIns="19050" rIns="38100" bIns="19050" anchor="ctr" anchorCtr="0">
                  <a:noAutofit/>
                </a:bodyPr>
                <a:lstStyle/>
                <a:p>
                  <a:pPr algn="l">
                    <a:defRPr sz="900">
                      <a:latin typeface="Arial" panose="020B0604020202020204" pitchFamily="34" charset="0"/>
                      <a:ea typeface="Open Sans Light" panose="020B0306030504020204" pitchFamily="34" charset="0"/>
                      <a:cs typeface="Arial" panose="020B0604020202020204" pitchFamily="34" charset="0"/>
                    </a:defRPr>
                  </a:pPr>
                  <a:endParaRPr lang="en-US"/>
                </a:p>
              </c:txPr>
              <c:showLegendKey val="0"/>
              <c:showVal val="1"/>
              <c:showCatName val="0"/>
              <c:showSerName val="0"/>
              <c:showPercent val="0"/>
              <c:showBubbleSize val="0"/>
              <c:extLst>
                <c:ext xmlns:c15="http://schemas.microsoft.com/office/drawing/2012/chart" uri="{CE6537A1-D6FC-4f65-9D91-7224C49458BB}">
                  <c15:layout>
                    <c:manualLayout>
                      <c:w val="9.3149149600926281E-2"/>
                      <c:h val="5.346032695686339E-2"/>
                    </c:manualLayout>
                  </c15:layout>
                </c:ext>
                <c:ext xmlns:c16="http://schemas.microsoft.com/office/drawing/2014/chart" uri="{C3380CC4-5D6E-409C-BE32-E72D297353CC}">
                  <c16:uniqueId val="{00000001-8A83-4DA7-9913-C7DA935F625B}"/>
                </c:ext>
              </c:extLst>
            </c:dLbl>
            <c:spPr>
              <a:noFill/>
              <a:ln>
                <a:noFill/>
              </a:ln>
              <a:effectLst/>
            </c:spPr>
            <c:txPr>
              <a:bodyPr rot="-5400000" vertOverflow="clip" horzOverflow="clip" vert="horz" wrap="square" lIns="38100" tIns="19050" rIns="38100" bIns="19050" anchor="ctr" anchorCtr="0">
                <a:spAutoFit/>
              </a:bodyPr>
              <a:lstStyle/>
              <a:p>
                <a:pPr algn="l">
                  <a:defRPr sz="900">
                    <a:latin typeface="Arial" panose="020B0604020202020204" pitchFamily="34" charset="0"/>
                    <a:ea typeface="Open Sans Light" panose="020B0306030504020204" pitchFamily="34" charset="0"/>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(SUMEXPEN!$O$285:$O$290,SUMEXPEN!$O$292)</c:f>
              <c:strCache>
                <c:ptCount val="1"/>
                <c:pt idx="0">
                  <c:v>Instruction</c:v>
                </c:pt>
              </c:strCache>
            </c:strRef>
          </c:cat>
          <c:val>
            <c:numRef>
              <c:f>(SUMEXPEN!$Q$285:$Q$290,SUMEXPEN!$Q$292)</c:f>
              <c:numCache>
                <c:formatCode>"$"#,##0</c:formatCode>
                <c:ptCount val="7"/>
                <c:pt idx="0">
                  <c:v>96625</c:v>
                </c:pt>
                <c:pt idx="1">
                  <c:v>#N/A</c:v>
                </c:pt>
                <c:pt idx="2">
                  <c:v>#N/A</c:v>
                </c:pt>
                <c:pt idx="3">
                  <c:v>#N/A</c:v>
                </c:pt>
                <c:pt idx="4">
                  <c:v>#N/A</c:v>
                </c:pt>
                <c:pt idx="5">
                  <c:v>#N/A</c:v>
                </c:pt>
                <c:pt idx="6">
                  <c:v>#N/A</c:v>
                </c:pt>
              </c:numCache>
            </c:numRef>
          </c:val>
          <c:extLst>
            <c:ext xmlns:c16="http://schemas.microsoft.com/office/drawing/2014/chart" uri="{C3380CC4-5D6E-409C-BE32-E72D297353CC}">
              <c16:uniqueId val="{00000001-03ED-42F9-B639-8C83BB0EB494}"/>
            </c:ext>
          </c:extLst>
        </c:ser>
        <c:ser>
          <c:idx val="2"/>
          <c:order val="2"/>
          <c:tx>
            <c:strRef>
              <c:f>SUMEXPEN!$R$284</c:f>
              <c:strCache>
                <c:ptCount val="1"/>
                <c:pt idx="0">
                  <c:v>2025-2026</c:v>
                </c:pt>
              </c:strCache>
            </c:strRef>
          </c:tx>
          <c:spPr>
            <a:solidFill>
              <a:srgbClr val="00B796"/>
            </a:solidFill>
            <a:ln>
              <a:solidFill>
                <a:srgbClr val="008269"/>
              </a:solidFill>
            </a:ln>
          </c:spPr>
          <c:invertIfNegative val="0"/>
          <c:dLbls>
            <c:dLbl>
              <c:idx val="0"/>
              <c:layout>
                <c:manualLayout>
                  <c:x val="3.7037698779965739E-3"/>
                  <c:y val="2.9239458119876848E-3"/>
                </c:manualLayout>
              </c:layout>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2-3542-4363-8AC6-8E590374E724}"/>
                </c:ext>
              </c:extLst>
            </c:dLbl>
            <c:dLbl>
              <c:idx val="1"/>
              <c:layout>
                <c:manualLayout>
                  <c:x val="3.843501944714554E-3"/>
                  <c:y val="2.1330480127978724E-3"/>
                </c:manualLayout>
              </c:layout>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0-A29D-4297-829F-F2A4BB1D8268}"/>
                </c:ext>
              </c:extLst>
            </c:dLbl>
            <c:dLbl>
              <c:idx val="2"/>
              <c:layout>
                <c:manualLayout>
                  <c:x val="5.6487475897410164E-3"/>
                  <c:y val="-5.7825192695241242E-3"/>
                </c:manualLayout>
              </c:layout>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1-A29D-4297-829F-F2A4BB1D8268}"/>
                </c:ext>
              </c:extLst>
            </c:dLbl>
            <c:dLbl>
              <c:idx val="3"/>
              <c:layout>
                <c:manualLayout>
                  <c:x val="3.7968411209221118E-3"/>
                  <c:y val="-8.9265161116074219E-3"/>
                </c:manualLayout>
              </c:layout>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2-A29D-4297-829F-F2A4BB1D8268}"/>
                </c:ext>
              </c:extLst>
            </c:dLbl>
            <c:dLbl>
              <c:idx val="4"/>
              <c:layout>
                <c:manualLayout>
                  <c:x val="7.4853050888708927E-3"/>
                  <c:y val="2.0729899705447022E-3"/>
                </c:manualLayout>
              </c:layout>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3-A29D-4297-829F-F2A4BB1D8268}"/>
                </c:ext>
              </c:extLst>
            </c:dLbl>
            <c:dLbl>
              <c:idx val="5"/>
              <c:layout>
                <c:manualLayout>
                  <c:x val="7.0417653226110587E-3"/>
                  <c:y val="1.1675166830514897E-4"/>
                </c:manualLayout>
              </c:layout>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4-A29D-4297-829F-F2A4BB1D8268}"/>
                </c:ext>
              </c:extLst>
            </c:dLbl>
            <c:dLbl>
              <c:idx val="6"/>
              <c:layout>
                <c:manualLayout>
                  <c:x val="5.6487475897408794E-3"/>
                  <c:y val="-5.7825192695241242E-3"/>
                </c:manualLayout>
              </c:layout>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5-A29D-4297-829F-F2A4BB1D8268}"/>
                </c:ext>
              </c:extLst>
            </c:dLbl>
            <c:dLbl>
              <c:idx val="7"/>
              <c:layout>
                <c:manualLayout>
                  <c:x val="3.1199477752077306E-3"/>
                  <c:y val="-9.0172095484084124E-3"/>
                </c:manualLayout>
              </c:layout>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6-A29D-4297-829F-F2A4BB1D8268}"/>
                </c:ext>
              </c:extLst>
            </c:dLbl>
            <c:dLbl>
              <c:idx val="8"/>
              <c:layout>
                <c:manualLayout>
                  <c:x val="4.8750661540899014E-3"/>
                  <c:y val="-8.4211595516453883E-3"/>
                </c:manualLayout>
              </c:layout>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7-A29D-4297-829F-F2A4BB1D8268}"/>
                </c:ext>
              </c:extLst>
            </c:dLbl>
            <c:spPr>
              <a:noFill/>
              <a:ln>
                <a:noFill/>
              </a:ln>
              <a:effectLst/>
            </c:spPr>
            <c:txPr>
              <a:bodyPr rot="-5400000" vertOverflow="clip" horzOverflow="clip" vert="horz" wrap="square" lIns="38100" tIns="19050" rIns="38100" bIns="19050" anchor="ctr" anchorCtr="0">
                <a:spAutoFit/>
              </a:bodyPr>
              <a:lstStyle/>
              <a:p>
                <a:pPr algn="l">
                  <a:defRPr sz="900">
                    <a:latin typeface="Arial" panose="020B0604020202020204" pitchFamily="34" charset="0"/>
                    <a:ea typeface="Open Sans Light" panose="020B0306030504020204" pitchFamily="34" charset="0"/>
                    <a:cs typeface="Arial" panose="020B0604020202020204" pitchFamily="34" charset="0"/>
                  </a:defRPr>
                </a:pPr>
                <a:endParaRPr lang="en-US"/>
              </a:p>
            </c:txPr>
            <c:showLegendKey val="0"/>
            <c:showVal val="1"/>
            <c:showCatName val="0"/>
            <c:showSerName val="0"/>
            <c:showPercent val="0"/>
            <c:showBubbleSize val="0"/>
            <c:separator> </c:separator>
            <c:showLeaderLines val="0"/>
            <c:extLst>
              <c:ext xmlns:c15="http://schemas.microsoft.com/office/drawing/2012/chart" uri="{CE6537A1-D6FC-4f65-9D91-7224C49458BB}">
                <c15:showLeaderLines val="0"/>
              </c:ext>
            </c:extLst>
          </c:dLbls>
          <c:cat>
            <c:strRef>
              <c:f>(SUMEXPEN!$O$285:$O$290,SUMEXPEN!$O$292)</c:f>
              <c:strCache>
                <c:ptCount val="1"/>
                <c:pt idx="0">
                  <c:v>Instruction</c:v>
                </c:pt>
              </c:strCache>
            </c:strRef>
          </c:cat>
          <c:val>
            <c:numRef>
              <c:f>(SUMEXPEN!$R$285:$R$290,SUMEXPEN!$R$292)</c:f>
              <c:numCache>
                <c:formatCode>"$"#,##0</c:formatCode>
                <c:ptCount val="7"/>
                <c:pt idx="0">
                  <c:v>275168</c:v>
                </c:pt>
                <c:pt idx="1">
                  <c:v>#N/A</c:v>
                </c:pt>
                <c:pt idx="2">
                  <c:v>#N/A</c:v>
                </c:pt>
                <c:pt idx="3">
                  <c:v>#N/A</c:v>
                </c:pt>
                <c:pt idx="4">
                  <c:v>#N/A</c:v>
                </c:pt>
                <c:pt idx="5">
                  <c:v>#N/A</c:v>
                </c:pt>
                <c:pt idx="6">
                  <c:v>#N/A</c:v>
                </c:pt>
              </c:numCache>
            </c:numRef>
          </c:val>
          <c:extLst>
            <c:ext xmlns:c16="http://schemas.microsoft.com/office/drawing/2014/chart" uri="{C3380CC4-5D6E-409C-BE32-E72D297353CC}">
              <c16:uniqueId val="{00000002-03ED-42F9-B639-8C83BB0EB494}"/>
            </c:ext>
          </c:extLst>
        </c:ser>
        <c:dLbls>
          <c:showLegendKey val="0"/>
          <c:showVal val="1"/>
          <c:showCatName val="0"/>
          <c:showSerName val="0"/>
          <c:showPercent val="0"/>
          <c:showBubbleSize val="0"/>
        </c:dLbls>
        <c:gapWidth val="150"/>
        <c:shape val="box"/>
        <c:axId val="128185088"/>
        <c:axId val="128186624"/>
        <c:axId val="0"/>
      </c:bar3DChart>
      <c:catAx>
        <c:axId val="128185088"/>
        <c:scaling>
          <c:orientation val="minMax"/>
        </c:scaling>
        <c:delete val="0"/>
        <c:axPos val="b"/>
        <c:numFmt formatCode="General" sourceLinked="1"/>
        <c:majorTickMark val="none"/>
        <c:minorTickMark val="none"/>
        <c:tickLblPos val="nextTo"/>
        <c:spPr>
          <a:noFill/>
        </c:spPr>
        <c:txPr>
          <a:bodyPr rot="0" anchor="t" anchorCtr="0"/>
          <a:lstStyle/>
          <a:p>
            <a:pPr>
              <a:defRPr sz="900" b="0" baseline="0">
                <a:solidFill>
                  <a:sysClr val="windowText" lastClr="000000"/>
                </a:solidFill>
                <a:latin typeface="Arial" panose="020B0604020202020204" pitchFamily="34" charset="0"/>
                <a:ea typeface="Open Sans" panose="020B0606030504020204" pitchFamily="34" charset="0"/>
                <a:cs typeface="Arial" panose="020B0604020202020204" pitchFamily="34" charset="0"/>
              </a:defRPr>
            </a:pPr>
            <a:endParaRPr lang="en-US"/>
          </a:p>
        </c:txPr>
        <c:crossAx val="128186624"/>
        <c:crosses val="autoZero"/>
        <c:auto val="1"/>
        <c:lblAlgn val="ctr"/>
        <c:lblOffset val="100"/>
        <c:noMultiLvlLbl val="0"/>
      </c:catAx>
      <c:valAx>
        <c:axId val="128186624"/>
        <c:scaling>
          <c:orientation val="minMax"/>
        </c:scaling>
        <c:delete val="0"/>
        <c:axPos val="l"/>
        <c:majorGridlines>
          <c:spPr>
            <a:ln>
              <a:solidFill>
                <a:srgbClr val="53565A"/>
              </a:solidFill>
            </a:ln>
          </c:spPr>
        </c:majorGridlines>
        <c:numFmt formatCode="&quot;$&quot;#,##0" sourceLinked="1"/>
        <c:majorTickMark val="none"/>
        <c:minorTickMark val="none"/>
        <c:tickLblPos val="nextTo"/>
        <c:spPr>
          <a:ln>
            <a:solidFill>
              <a:srgbClr val="53565A"/>
            </a:solidFill>
          </a:ln>
        </c:spPr>
        <c:txPr>
          <a:bodyPr/>
          <a:lstStyle/>
          <a:p>
            <a:pPr>
              <a:defRPr sz="900" baseline="0">
                <a:latin typeface="Arial" panose="020B0604020202020204" pitchFamily="34" charset="0"/>
                <a:ea typeface="Open Sans" panose="020B0606030504020204" pitchFamily="34" charset="0"/>
                <a:cs typeface="Arial" panose="020B0604020202020204" pitchFamily="34" charset="0"/>
              </a:defRPr>
            </a:pPr>
            <a:endParaRPr lang="en-US"/>
          </a:p>
        </c:txPr>
        <c:crossAx val="128185088"/>
        <c:crosses val="autoZero"/>
        <c:crossBetween val="between"/>
      </c:valAx>
      <c:spPr>
        <a:solidFill>
          <a:schemeClr val="bg1"/>
        </a:solidFill>
        <a:ln>
          <a:noFill/>
        </a:ln>
      </c:spPr>
    </c:plotArea>
    <c:legend>
      <c:legendPos val="r"/>
      <c:layout>
        <c:manualLayout>
          <c:xMode val="edge"/>
          <c:yMode val="edge"/>
          <c:x val="0.90137033578610548"/>
          <c:y val="0.79002084615966217"/>
          <c:w val="9.6564415929897771E-2"/>
          <c:h val="0.20905102180146556"/>
        </c:manualLayout>
      </c:layout>
      <c:overlay val="0"/>
      <c:txPr>
        <a:bodyPr/>
        <a:lstStyle/>
        <a:p>
          <a:pPr>
            <a:defRPr sz="900" b="0">
              <a:solidFill>
                <a:sysClr val="windowText" lastClr="000000"/>
              </a:solidFill>
              <a:latin typeface="Arial" panose="020B0604020202020204" pitchFamily="34" charset="0"/>
              <a:ea typeface="Open Sans" panose="020B0606030504020204" pitchFamily="34" charset="0"/>
              <a:cs typeface="Arial" panose="020B0604020202020204" pitchFamily="34" charset="0"/>
            </a:defRPr>
          </a:pPr>
          <a:endParaRPr lang="en-US"/>
        </a:p>
      </c:txPr>
    </c:legend>
    <c:plotVisOnly val="1"/>
    <c:dispBlanksAs val="gap"/>
    <c:showDLblsOverMax val="0"/>
  </c:chart>
  <c:spPr>
    <a:noFill/>
    <a:ln>
      <a:solidFill>
        <a:srgbClr val="53565A"/>
      </a:solidFill>
    </a:ln>
  </c:spPr>
  <c:printSettings>
    <c:headerFooter/>
    <c:pageMargins b="0.75" l="0.7" r="0.7" t="0.75" header="0.3" footer="0.3"/>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34"/>
    </mc:Choice>
    <mc:Fallback>
      <c:style val="34"/>
    </mc:Fallback>
  </mc:AlternateContent>
  <c:clrMapOvr bg1="lt1" tx1="dk1" bg2="lt2" tx2="dk2" accent1="accent1" accent2="accent2" accent3="accent3" accent4="accent4" accent5="accent5" accent6="accent6" hlink="hlink" folHlink="folHlink"/>
  <c:chart>
    <c:title>
      <c:tx>
        <c:rich>
          <a:bodyPr/>
          <a:lstStyle/>
          <a:p>
            <a:pPr algn="ctr" rtl="0">
              <a:defRPr lang="en-US" sz="1400" b="0" i="0" u="none" strike="noStrike" kern="1200" baseline="0">
                <a:solidFill>
                  <a:srgbClr val="005587"/>
                </a:solidFill>
                <a:latin typeface="Open Sans Semibold" panose="020B0706030804020204" pitchFamily="34" charset="0"/>
                <a:ea typeface="Open Sans Semibold" panose="020B0706030804020204" pitchFamily="34" charset="0"/>
                <a:cs typeface="Open Sans Semibold" panose="020B0706030804020204" pitchFamily="34" charset="0"/>
              </a:defRPr>
            </a:pPr>
            <a:r>
              <a:rPr lang="en-US" sz="1400" b="0" i="0" u="none" strike="noStrike" kern="1200" baseline="0">
                <a:solidFill>
                  <a:srgbClr val="005587"/>
                </a:solidFill>
                <a:latin typeface="Open Sans Semibold" panose="020B0706030804020204" pitchFamily="34" charset="0"/>
                <a:ea typeface="Open Sans Semibold" panose="020B0706030804020204" pitchFamily="34" charset="0"/>
                <a:cs typeface="Open Sans Semibold" panose="020B0706030804020204" pitchFamily="34" charset="0"/>
              </a:rPr>
              <a:t> </a:t>
            </a:r>
            <a:r>
              <a:rPr lang="en-US" sz="1400" b="0" i="0" u="none" strike="noStrike" kern="1200" baseline="0">
                <a:solidFill>
                  <a:srgbClr val="005587"/>
                </a:solidFill>
                <a:latin typeface="Arial" panose="020B0604020202020204" pitchFamily="34" charset="0"/>
                <a:ea typeface="Open Sans Semibold" panose="020B0706030804020204" pitchFamily="34" charset="0"/>
                <a:cs typeface="Arial" panose="020B0604020202020204" pitchFamily="34" charset="0"/>
              </a:rPr>
              <a:t>Summary of General Fund Expenditures by Function</a:t>
            </a:r>
          </a:p>
        </c:rich>
      </c:tx>
      <c:overlay val="0"/>
    </c:title>
    <c:autoTitleDeleted val="0"/>
    <c:view3D>
      <c:rotX val="30"/>
      <c:rotY val="0"/>
      <c:rAngAx val="1"/>
    </c:view3D>
    <c:floor>
      <c:thickness val="0"/>
    </c:floor>
    <c:sideWall>
      <c:thickness val="0"/>
    </c:sideWall>
    <c:backWall>
      <c:thickness val="0"/>
    </c:backWall>
    <c:plotArea>
      <c:layout>
        <c:manualLayout>
          <c:layoutTarget val="inner"/>
          <c:xMode val="edge"/>
          <c:yMode val="edge"/>
          <c:x val="1.3523198241645184E-3"/>
          <c:y val="0.29642762076836715"/>
          <c:w val="0.85295348660482029"/>
          <c:h val="0.58120675425486823"/>
        </c:manualLayout>
      </c:layout>
      <c:pie3DChart>
        <c:varyColors val="1"/>
        <c:ser>
          <c:idx val="0"/>
          <c:order val="0"/>
          <c:tx>
            <c:strRef>
              <c:f>SUMEXPEN!$P$106</c:f>
              <c:strCache>
                <c:ptCount val="1"/>
                <c:pt idx="0">
                  <c:v>2025-2026</c:v>
                </c:pt>
              </c:strCache>
            </c:strRef>
          </c:tx>
          <c:dPt>
            <c:idx val="0"/>
            <c:bubble3D val="0"/>
            <c:spPr>
              <a:solidFill>
                <a:srgbClr val="FFA400"/>
              </a:solidFill>
              <a:ln>
                <a:solidFill>
                  <a:srgbClr val="D28700"/>
                </a:solidFill>
              </a:ln>
            </c:spPr>
            <c:extLst>
              <c:ext xmlns:c16="http://schemas.microsoft.com/office/drawing/2014/chart" uri="{C3380CC4-5D6E-409C-BE32-E72D297353CC}">
                <c16:uniqueId val="{00000001-6F08-487A-9C7A-02880EE3903F}"/>
              </c:ext>
            </c:extLst>
          </c:dPt>
          <c:dPt>
            <c:idx val="1"/>
            <c:bubble3D val="0"/>
            <c:spPr>
              <a:solidFill>
                <a:srgbClr val="12284C"/>
              </a:solidFill>
              <a:ln>
                <a:solidFill>
                  <a:srgbClr val="005587"/>
                </a:solidFill>
              </a:ln>
            </c:spPr>
            <c:extLst>
              <c:ext xmlns:c16="http://schemas.microsoft.com/office/drawing/2014/chart" uri="{C3380CC4-5D6E-409C-BE32-E72D297353CC}">
                <c16:uniqueId val="{00000002-6F08-487A-9C7A-02880EE3903F}"/>
              </c:ext>
            </c:extLst>
          </c:dPt>
          <c:dPt>
            <c:idx val="2"/>
            <c:bubble3D val="0"/>
            <c:spPr>
              <a:solidFill>
                <a:srgbClr val="00B796"/>
              </a:solidFill>
              <a:ln>
                <a:solidFill>
                  <a:srgbClr val="008269"/>
                </a:solidFill>
              </a:ln>
            </c:spPr>
            <c:extLst>
              <c:ext xmlns:c16="http://schemas.microsoft.com/office/drawing/2014/chart" uri="{C3380CC4-5D6E-409C-BE32-E72D297353CC}">
                <c16:uniqueId val="{00000003-6F08-487A-9C7A-02880EE3903F}"/>
              </c:ext>
            </c:extLst>
          </c:dPt>
          <c:dPt>
            <c:idx val="3"/>
            <c:bubble3D val="0"/>
            <c:spPr>
              <a:solidFill>
                <a:srgbClr val="D50032"/>
              </a:solidFill>
              <a:ln>
                <a:solidFill>
                  <a:srgbClr val="B7312C"/>
                </a:solidFill>
              </a:ln>
            </c:spPr>
            <c:extLst>
              <c:ext xmlns:c16="http://schemas.microsoft.com/office/drawing/2014/chart" uri="{C3380CC4-5D6E-409C-BE32-E72D297353CC}">
                <c16:uniqueId val="{00000000-6F08-487A-9C7A-02880EE3903F}"/>
              </c:ext>
            </c:extLst>
          </c:dPt>
          <c:dPt>
            <c:idx val="4"/>
            <c:bubble3D val="0"/>
            <c:spPr>
              <a:solidFill>
                <a:srgbClr val="D28700"/>
              </a:solidFill>
              <a:ln>
                <a:solidFill>
                  <a:srgbClr val="FFA400"/>
                </a:solidFill>
              </a:ln>
            </c:spPr>
            <c:extLst>
              <c:ext xmlns:c16="http://schemas.microsoft.com/office/drawing/2014/chart" uri="{C3380CC4-5D6E-409C-BE32-E72D297353CC}">
                <c16:uniqueId val="{00000004-6F08-487A-9C7A-02880EE3903F}"/>
              </c:ext>
            </c:extLst>
          </c:dPt>
          <c:dPt>
            <c:idx val="5"/>
            <c:bubble3D val="0"/>
            <c:spPr>
              <a:solidFill>
                <a:srgbClr val="53565A"/>
              </a:solidFill>
              <a:ln>
                <a:solidFill>
                  <a:srgbClr val="C2C4C6"/>
                </a:solidFill>
              </a:ln>
            </c:spPr>
            <c:extLst>
              <c:ext xmlns:c16="http://schemas.microsoft.com/office/drawing/2014/chart" uri="{C3380CC4-5D6E-409C-BE32-E72D297353CC}">
                <c16:uniqueId val="{00000005-6F08-487A-9C7A-02880EE3903F}"/>
              </c:ext>
            </c:extLst>
          </c:dPt>
          <c:dPt>
            <c:idx val="6"/>
            <c:bubble3D val="0"/>
            <c:spPr>
              <a:solidFill>
                <a:srgbClr val="008269"/>
              </a:solidFill>
              <a:ln>
                <a:solidFill>
                  <a:srgbClr val="00B796"/>
                </a:solidFill>
              </a:ln>
            </c:spPr>
            <c:extLst>
              <c:ext xmlns:c16="http://schemas.microsoft.com/office/drawing/2014/chart" uri="{C3380CC4-5D6E-409C-BE32-E72D297353CC}">
                <c16:uniqueId val="{00000006-6F08-487A-9C7A-02880EE3903F}"/>
              </c:ext>
            </c:extLst>
          </c:dPt>
          <c:dPt>
            <c:idx val="7"/>
            <c:bubble3D val="0"/>
            <c:spPr>
              <a:solidFill>
                <a:srgbClr val="D28700"/>
              </a:solidFill>
              <a:ln>
                <a:solidFill>
                  <a:sysClr val="windowText" lastClr="000000"/>
                </a:solidFill>
              </a:ln>
            </c:spPr>
            <c:extLst>
              <c:ext xmlns:c16="http://schemas.microsoft.com/office/drawing/2014/chart" uri="{C3380CC4-5D6E-409C-BE32-E72D297353CC}">
                <c16:uniqueId val="{00000007-6F08-487A-9C7A-02880EE3903F}"/>
              </c:ext>
            </c:extLst>
          </c:dPt>
          <c:dPt>
            <c:idx val="8"/>
            <c:bubble3D val="0"/>
            <c:spPr>
              <a:solidFill>
                <a:srgbClr val="008269"/>
              </a:solidFill>
              <a:ln>
                <a:solidFill>
                  <a:sysClr val="windowText" lastClr="000000"/>
                </a:solidFill>
              </a:ln>
            </c:spPr>
            <c:extLst>
              <c:ext xmlns:c16="http://schemas.microsoft.com/office/drawing/2014/chart" uri="{C3380CC4-5D6E-409C-BE32-E72D297353CC}">
                <c16:uniqueId val="{0000000E-6CF0-484D-9AFC-2C5FE0CAB48D}"/>
              </c:ext>
            </c:extLst>
          </c:dPt>
          <c:dPt>
            <c:idx val="9"/>
            <c:bubble3D val="0"/>
            <c:spPr>
              <a:solidFill>
                <a:srgbClr val="C2C4C6"/>
              </a:solidFill>
              <a:ln>
                <a:solidFill>
                  <a:sysClr val="windowText" lastClr="000000"/>
                </a:solidFill>
              </a:ln>
            </c:spPr>
            <c:extLst>
              <c:ext xmlns:c16="http://schemas.microsoft.com/office/drawing/2014/chart" uri="{C3380CC4-5D6E-409C-BE32-E72D297353CC}">
                <c16:uniqueId val="{00000012-A327-4503-9607-4AB1FB504017}"/>
              </c:ext>
            </c:extLst>
          </c:dPt>
          <c:dPt>
            <c:idx val="10"/>
            <c:bubble3D val="0"/>
            <c:spPr>
              <a:solidFill>
                <a:srgbClr val="FFCE75"/>
              </a:solidFill>
              <a:ln>
                <a:solidFill>
                  <a:sysClr val="windowText" lastClr="000000"/>
                </a:solidFill>
              </a:ln>
            </c:spPr>
            <c:extLst>
              <c:ext xmlns:c16="http://schemas.microsoft.com/office/drawing/2014/chart" uri="{C3380CC4-5D6E-409C-BE32-E72D297353CC}">
                <c16:uniqueId val="{00000027-B5E0-4308-B498-E4E34FEF13DC}"/>
              </c:ext>
            </c:extLst>
          </c:dPt>
          <c:dPt>
            <c:idx val="11"/>
            <c:bubble3D val="0"/>
            <c:spPr>
              <a:solidFill>
                <a:srgbClr val="070F1B"/>
              </a:solidFill>
              <a:ln>
                <a:solidFill>
                  <a:sysClr val="windowText" lastClr="000000"/>
                </a:solidFill>
              </a:ln>
            </c:spPr>
            <c:extLst>
              <c:ext xmlns:c16="http://schemas.microsoft.com/office/drawing/2014/chart" uri="{C3380CC4-5D6E-409C-BE32-E72D297353CC}">
                <c16:uniqueId val="{00000028-B5E0-4308-B498-E4E34FEF13DC}"/>
              </c:ext>
            </c:extLst>
          </c:dPt>
          <c:dPt>
            <c:idx val="12"/>
            <c:bubble3D val="0"/>
            <c:spPr>
              <a:solidFill>
                <a:srgbClr val="7F241F"/>
              </a:solidFill>
              <a:ln>
                <a:solidFill>
                  <a:sysClr val="windowText" lastClr="000000"/>
                </a:solidFill>
              </a:ln>
            </c:spPr>
            <c:extLst>
              <c:ext xmlns:c16="http://schemas.microsoft.com/office/drawing/2014/chart" uri="{C3380CC4-5D6E-409C-BE32-E72D297353CC}">
                <c16:uniqueId val="{00000029-B5E0-4308-B498-E4E34FEF13DC}"/>
              </c:ext>
            </c:extLst>
          </c:dPt>
          <c:dPt>
            <c:idx val="13"/>
            <c:bubble3D val="0"/>
            <c:spPr>
              <a:solidFill>
                <a:srgbClr val="383A3C"/>
              </a:solidFill>
              <a:ln>
                <a:solidFill>
                  <a:sysClr val="windowText" lastClr="000000"/>
                </a:solidFill>
              </a:ln>
            </c:spPr>
            <c:extLst>
              <c:ext xmlns:c16="http://schemas.microsoft.com/office/drawing/2014/chart" uri="{C3380CC4-5D6E-409C-BE32-E72D297353CC}">
                <c16:uniqueId val="{0000002A-B5E0-4308-B498-E4E34FEF13DC}"/>
              </c:ext>
            </c:extLst>
          </c:dPt>
          <c:dLbls>
            <c:dLbl>
              <c:idx val="0"/>
              <c:layout>
                <c:manualLayout>
                  <c:x val="-5.7829464703685586E-2"/>
                  <c:y val="-0.17280386364833022"/>
                </c:manualLayout>
              </c:layout>
              <c:tx>
                <c:rich>
                  <a:bodyPr/>
                  <a:lstStyle/>
                  <a:p>
                    <a:fld id="{A27B4D76-C9B8-4250-9E45-A2188E8499A5}" type="CELLRANGE">
                      <a:rPr lang="en-US" baseline="0"/>
                      <a:pPr/>
                      <a:t>[CELLRANGE]</a:t>
                    </a:fld>
                    <a:r>
                      <a:rPr lang="en-US" baseline="0"/>
                      <a:t>
</a:t>
                    </a:r>
                    <a:fld id="{17F48CDC-A400-409D-BA24-BE4587E75228}" type="VALUE">
                      <a:rPr lang="en-US" baseline="0"/>
                      <a:pPr/>
                      <a:t>[VALUE]</a:t>
                    </a:fld>
                    <a:endParaRPr lang="en-US" baseline="0"/>
                  </a:p>
                </c:rich>
              </c:tx>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1-6F08-487A-9C7A-02880EE3903F}"/>
                </c:ext>
              </c:extLst>
            </c:dLbl>
            <c:dLbl>
              <c:idx val="1"/>
              <c:layout>
                <c:manualLayout>
                  <c:x val="1.9638384380309175E-2"/>
                  <c:y val="5.7375543050193255E-3"/>
                </c:manualLayout>
              </c:layout>
              <c:tx>
                <c:rich>
                  <a:bodyPr/>
                  <a:lstStyle/>
                  <a:p>
                    <a:endParaRPr lang="en-US" baseline="0"/>
                  </a:p>
                </c:rich>
              </c:tx>
              <c:showLegendKey val="0"/>
              <c:showVal val="1"/>
              <c:showCatName val="0"/>
              <c:showSerName val="0"/>
              <c:showPercent val="0"/>
              <c:showBubbleSize val="0"/>
              <c:separator>
</c:separator>
              <c:extLst>
                <c:ext xmlns:c15="http://schemas.microsoft.com/office/drawing/2012/chart" uri="{CE6537A1-D6FC-4f65-9D91-7224C49458BB}">
                  <c15:showDataLabelsRange val="1"/>
                </c:ext>
                <c:ext xmlns:c16="http://schemas.microsoft.com/office/drawing/2014/chart" uri="{C3380CC4-5D6E-409C-BE32-E72D297353CC}">
                  <c16:uniqueId val="{00000002-6F08-487A-9C7A-02880EE3903F}"/>
                </c:ext>
              </c:extLst>
            </c:dLbl>
            <c:dLbl>
              <c:idx val="2"/>
              <c:layout>
                <c:manualLayout>
                  <c:x val="-6.3455256970634186E-2"/>
                  <c:y val="3.3064409540705525E-2"/>
                </c:manualLayout>
              </c:layout>
              <c:tx>
                <c:rich>
                  <a:bodyPr/>
                  <a:lstStyle/>
                  <a:p>
                    <a:endParaRPr lang="en-US" baseline="0"/>
                  </a:p>
                </c:rich>
              </c:tx>
              <c:showLegendKey val="0"/>
              <c:showVal val="1"/>
              <c:showCatName val="0"/>
              <c:showSerName val="0"/>
              <c:showPercent val="0"/>
              <c:showBubbleSize val="0"/>
              <c:separator>
</c:separator>
              <c:extLst>
                <c:ext xmlns:c15="http://schemas.microsoft.com/office/drawing/2012/chart" uri="{CE6537A1-D6FC-4f65-9D91-7224C49458BB}">
                  <c15:showDataLabelsRange val="0"/>
                </c:ext>
                <c:ext xmlns:c16="http://schemas.microsoft.com/office/drawing/2014/chart" uri="{C3380CC4-5D6E-409C-BE32-E72D297353CC}">
                  <c16:uniqueId val="{00000003-6F08-487A-9C7A-02880EE3903F}"/>
                </c:ext>
              </c:extLst>
            </c:dLbl>
            <c:dLbl>
              <c:idx val="3"/>
              <c:layout>
                <c:manualLayout>
                  <c:x val="-4.3023632566971198E-2"/>
                  <c:y val="-3.2174682981185719E-2"/>
                </c:manualLayout>
              </c:layout>
              <c:tx>
                <c:rich>
                  <a:bodyPr/>
                  <a:lstStyle/>
                  <a:p>
                    <a:fld id="{E8D937A2-0051-4768-996D-C9DCEC7BC87C}" type="CELLRANGE">
                      <a:rPr lang="en-US" baseline="0"/>
                      <a:pPr/>
                      <a:t>[CELLRANGE]</a:t>
                    </a:fld>
                    <a:r>
                      <a:rPr lang="en-US" baseline="0"/>
                      <a:t>
</a:t>
                    </a:r>
                    <a:fld id="{378EFCC0-DA56-4955-B8D3-66311875B8E3}" type="VALUE">
                      <a:rPr lang="en-US" baseline="0"/>
                      <a:pPr/>
                      <a:t>[VALUE]</a:t>
                    </a:fld>
                    <a:endParaRPr lang="en-US" baseline="0"/>
                  </a:p>
                </c:rich>
              </c:tx>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0-6F08-487A-9C7A-02880EE3903F}"/>
                </c:ext>
              </c:extLst>
            </c:dLbl>
            <c:dLbl>
              <c:idx val="4"/>
              <c:layout>
                <c:manualLayout>
                  <c:x val="-1.6785564414604503E-3"/>
                  <c:y val="-4.5270724199858612E-3"/>
                </c:manualLayout>
              </c:layout>
              <c:tx>
                <c:rich>
                  <a:bodyPr/>
                  <a:lstStyle/>
                  <a:p>
                    <a:fld id="{B67B2EBE-DC99-4E9D-AE3C-8EE67CFC778F}" type="CELLRANGE">
                      <a:rPr lang="en-US" baseline="0"/>
                      <a:pPr/>
                      <a:t>[CELLRANGE]</a:t>
                    </a:fld>
                    <a:r>
                      <a:rPr lang="en-US" baseline="0"/>
                      <a:t>
</a:t>
                    </a:r>
                    <a:fld id="{A99AA317-5E54-45F2-966B-95278817A724}" type="VALUE">
                      <a:rPr lang="en-US" baseline="0"/>
                      <a:pPr/>
                      <a:t>[VALUE]</a:t>
                    </a:fld>
                    <a:endParaRPr lang="en-US" baseline="0"/>
                  </a:p>
                </c:rich>
              </c:tx>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4-6F08-487A-9C7A-02880EE3903F}"/>
                </c:ext>
              </c:extLst>
            </c:dLbl>
            <c:dLbl>
              <c:idx val="5"/>
              <c:layout>
                <c:manualLayout>
                  <c:x val="-1.5968682772368886E-2"/>
                  <c:y val="-3.3464679037590914E-2"/>
                </c:manualLayout>
              </c:layout>
              <c:tx>
                <c:rich>
                  <a:bodyPr/>
                  <a:lstStyle/>
                  <a:p>
                    <a:fld id="{F331B1E7-5434-4FC4-8138-5FF61290F039}" type="CELLRANGE">
                      <a:rPr lang="en-US" baseline="0"/>
                      <a:pPr/>
                      <a:t>[CELLRANGE]</a:t>
                    </a:fld>
                    <a:r>
                      <a:rPr lang="en-US" baseline="0"/>
                      <a:t>
</a:t>
                    </a:r>
                    <a:fld id="{9F1EFCA2-36E1-4E98-9EEB-A111795EFD3B}" type="VALUE">
                      <a:rPr lang="en-US" baseline="0"/>
                      <a:pPr/>
                      <a:t>[VALUE]</a:t>
                    </a:fld>
                    <a:endParaRPr lang="en-US" baseline="0"/>
                  </a:p>
                </c:rich>
              </c:tx>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5-6F08-487A-9C7A-02880EE3903F}"/>
                </c:ext>
              </c:extLst>
            </c:dLbl>
            <c:dLbl>
              <c:idx val="6"/>
              <c:layout>
                <c:manualLayout>
                  <c:x val="4.6369221382397338E-2"/>
                  <c:y val="-4.2675712936387777E-2"/>
                </c:manualLayout>
              </c:layout>
              <c:tx>
                <c:rich>
                  <a:bodyPr/>
                  <a:lstStyle/>
                  <a:p>
                    <a:endParaRPr lang="en-US" baseline="0"/>
                  </a:p>
                </c:rich>
              </c:tx>
              <c:showLegendKey val="0"/>
              <c:showVal val="1"/>
              <c:showCatName val="0"/>
              <c:showSerName val="0"/>
              <c:showPercent val="0"/>
              <c:showBubbleSize val="0"/>
              <c:separator>
</c:separator>
              <c:extLst>
                <c:ext xmlns:c15="http://schemas.microsoft.com/office/drawing/2012/chart" uri="{CE6537A1-D6FC-4f65-9D91-7224C49458BB}">
                  <c15:showDataLabelsRange val="0"/>
                </c:ext>
                <c:ext xmlns:c16="http://schemas.microsoft.com/office/drawing/2014/chart" uri="{C3380CC4-5D6E-409C-BE32-E72D297353CC}">
                  <c16:uniqueId val="{00000006-6F08-487A-9C7A-02880EE3903F}"/>
                </c:ext>
              </c:extLst>
            </c:dLbl>
            <c:dLbl>
              <c:idx val="7"/>
              <c:layout>
                <c:manualLayout>
                  <c:x val="5.0247160988643957E-2"/>
                  <c:y val="-2.7323094314238957E-2"/>
                </c:manualLayout>
              </c:layout>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7-6F08-487A-9C7A-02880EE3903F}"/>
                </c:ext>
              </c:extLst>
            </c:dLbl>
            <c:spPr>
              <a:noFill/>
              <a:ln>
                <a:noFill/>
              </a:ln>
              <a:effectLst/>
            </c:spPr>
            <c:txPr>
              <a:bodyPr wrap="square" lIns="38100" tIns="19050" rIns="38100" bIns="19050" anchor="ctr">
                <a:spAutoFit/>
              </a:bodyPr>
              <a:lstStyle/>
              <a:p>
                <a:pPr>
                  <a:defRPr sz="900">
                    <a:solidFill>
                      <a:sysClr val="windowText" lastClr="000000"/>
                    </a:solidFill>
                    <a:latin typeface="Arial" panose="020B0604020202020204" pitchFamily="34" charset="0"/>
                    <a:ea typeface="Open Sans Light" panose="020B0306030504020204" pitchFamily="34" charset="0"/>
                    <a:cs typeface="Arial" panose="020B0604020202020204" pitchFamily="34" charset="0"/>
                  </a:defRPr>
                </a:pPr>
                <a:endParaRPr lang="en-US"/>
              </a:p>
            </c:txPr>
            <c:showLegendKey val="0"/>
            <c:showVal val="1"/>
            <c:showCatName val="0"/>
            <c:showSerName val="0"/>
            <c:showPercent val="0"/>
            <c:showBubbleSize val="0"/>
            <c:separator>
</c:separator>
            <c:showLeaderLines val="1"/>
            <c:extLst>
              <c:ext xmlns:c15="http://schemas.microsoft.com/office/drawing/2012/chart" uri="{CE6537A1-D6FC-4f65-9D91-7224C49458BB}">
                <c15:showDataLabelsRange val="1"/>
              </c:ext>
            </c:extLst>
          </c:dLbls>
          <c:cat>
            <c:strRef>
              <c:f>(SUMEXPEN!$O$107:$O$112,SUMEXPEN!$O$114)</c:f>
              <c:strCache>
                <c:ptCount val="7"/>
                <c:pt idx="0">
                  <c:v>Instruction: 62%</c:v>
                </c:pt>
                <c:pt idx="1">
                  <c:v>Student Support: 0%</c:v>
                </c:pt>
                <c:pt idx="2">
                  <c:v>Instructional Support: 0%</c:v>
                </c:pt>
                <c:pt idx="3">
                  <c:v>Administration &amp; Support: 23%</c:v>
                </c:pt>
                <c:pt idx="4">
                  <c:v>Operations &amp; Maintenance: 12%</c:v>
                </c:pt>
                <c:pt idx="5">
                  <c:v>Transportation: 3%</c:v>
                </c:pt>
                <c:pt idx="6">
                  <c:v>Other Costs: 0%</c:v>
                </c:pt>
              </c:strCache>
            </c:strRef>
          </c:cat>
          <c:val>
            <c:numRef>
              <c:f>(SUMEXPEN!$P$107:$P$112,SUMEXPEN!$P$114)</c:f>
              <c:numCache>
                <c:formatCode>0%</c:formatCode>
                <c:ptCount val="7"/>
                <c:pt idx="0">
                  <c:v>0.62</c:v>
                </c:pt>
                <c:pt idx="1">
                  <c:v>#N/A</c:v>
                </c:pt>
                <c:pt idx="2">
                  <c:v>#N/A</c:v>
                </c:pt>
                <c:pt idx="3">
                  <c:v>0.23</c:v>
                </c:pt>
                <c:pt idx="4">
                  <c:v>0.12</c:v>
                </c:pt>
                <c:pt idx="5">
                  <c:v>0.03</c:v>
                </c:pt>
                <c:pt idx="6">
                  <c:v>#N/A</c:v>
                </c:pt>
              </c:numCache>
            </c:numRef>
          </c:val>
          <c:extLst>
            <c:ext xmlns:c15="http://schemas.microsoft.com/office/drawing/2012/chart" uri="{02D57815-91ED-43cb-92C2-25804820EDAC}">
              <c15:datalabelsRange>
                <c15:f>(SUMEXPEN!$Q$107:$Q$112,SUMEXPEN!$Q$114)</c15:f>
                <c15:dlblRangeCache>
                  <c:ptCount val="7"/>
                  <c:pt idx="0">
                    <c:v>Instruction</c:v>
                  </c:pt>
                  <c:pt idx="1">
                    <c:v>Student Support</c:v>
                  </c:pt>
                  <c:pt idx="2">
                    <c:v>Instructional Support</c:v>
                  </c:pt>
                  <c:pt idx="3">
                    <c:v>Administration &amp; Support</c:v>
                  </c:pt>
                  <c:pt idx="4">
                    <c:v>Operations &amp; Maintenance</c:v>
                  </c:pt>
                  <c:pt idx="5">
                    <c:v>Transportation</c:v>
                  </c:pt>
                  <c:pt idx="6">
                    <c:v>Other Costs</c:v>
                  </c:pt>
                </c15:dlblRangeCache>
              </c15:datalabelsRange>
            </c:ext>
            <c:ext xmlns:c16="http://schemas.microsoft.com/office/drawing/2014/chart" uri="{C3380CC4-5D6E-409C-BE32-E72D297353CC}">
              <c16:uniqueId val="{00000000-5C91-4ED5-A85B-5F66A849B5EA}"/>
            </c:ext>
          </c:extLst>
        </c:ser>
        <c:dLbls>
          <c:showLegendKey val="0"/>
          <c:showVal val="0"/>
          <c:showCatName val="1"/>
          <c:showSerName val="0"/>
          <c:showPercent val="1"/>
          <c:showBubbleSize val="0"/>
          <c:showLeaderLines val="1"/>
        </c:dLbls>
      </c:pie3DChart>
    </c:plotArea>
    <c:legend>
      <c:legendPos val="r"/>
      <c:layout>
        <c:manualLayout>
          <c:xMode val="edge"/>
          <c:yMode val="edge"/>
          <c:x val="0.76452320408723951"/>
          <c:y val="0.14634665001152475"/>
          <c:w val="0.23547679591276036"/>
          <c:h val="0.8536533499884752"/>
        </c:manualLayout>
      </c:layout>
      <c:overlay val="0"/>
      <c:txPr>
        <a:bodyPr/>
        <a:lstStyle/>
        <a:p>
          <a:pPr>
            <a:defRPr sz="900" baseline="0">
              <a:latin typeface="Arial" panose="020B0604020202020204" pitchFamily="34" charset="0"/>
              <a:ea typeface="Open Sans Light" panose="020B0306030504020204" pitchFamily="34" charset="0"/>
              <a:cs typeface="Arial" panose="020B0604020202020204" pitchFamily="34" charset="0"/>
            </a:defRPr>
          </a:pPr>
          <a:endParaRPr lang="en-US"/>
        </a:p>
      </c:txPr>
    </c:legend>
    <c:plotVisOnly val="1"/>
    <c:dispBlanksAs val="gap"/>
    <c:showDLblsOverMax val="0"/>
  </c:chart>
  <c:spPr>
    <a:noFill/>
    <a:ln>
      <a:solidFill>
        <a:srgbClr val="53565A"/>
      </a:solidFill>
    </a:ln>
  </c:spPr>
  <c:printSettings>
    <c:headerFooter alignWithMargins="0"/>
    <c:pageMargins b="0.5" l="0.25" r="0.25" t="0.5" header="0.3" footer="0.3"/>
    <c:pageSetup orientation="landscape"/>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34"/>
    </mc:Choice>
    <mc:Fallback>
      <c:style val="34"/>
    </mc:Fallback>
  </mc:AlternateContent>
  <c:clrMapOvr bg1="lt1" tx1="dk1" bg2="lt2" tx2="dk2" accent1="accent1" accent2="accent2" accent3="accent3" accent4="accent4" accent5="accent5" accent6="accent6" hlink="hlink" folHlink="folHlink"/>
  <c:chart>
    <c:title>
      <c:tx>
        <c:rich>
          <a:bodyPr/>
          <a:lstStyle/>
          <a:p>
            <a:pPr algn="ctr" rtl="0">
              <a:defRPr lang="en-US" sz="1400" b="0" i="0" u="none" strike="noStrike" kern="1200" baseline="0">
                <a:solidFill>
                  <a:srgbClr val="D50032"/>
                </a:solidFill>
                <a:latin typeface="Open Sans Semibold" panose="020B0706030804020204" pitchFamily="34" charset="0"/>
                <a:ea typeface="Open Sans Semibold" panose="020B0706030804020204" pitchFamily="34" charset="0"/>
                <a:cs typeface="Open Sans Semibold" panose="020B0706030804020204" pitchFamily="34" charset="0"/>
              </a:defRPr>
            </a:pPr>
            <a:r>
              <a:rPr lang="en-US" sz="1400" b="0" i="0" u="none" strike="noStrike" kern="1200" baseline="0">
                <a:solidFill>
                  <a:srgbClr val="D50032"/>
                </a:solidFill>
                <a:latin typeface="Arial" panose="020B0604020202020204" pitchFamily="34" charset="0"/>
                <a:ea typeface="Open Sans Semibold" panose="020B0706030804020204" pitchFamily="34" charset="0"/>
                <a:cs typeface="Arial" panose="020B0604020202020204" pitchFamily="34" charset="0"/>
              </a:rPr>
              <a:t> Summary of Special Education Fund by Function</a:t>
            </a:r>
          </a:p>
        </c:rich>
      </c:tx>
      <c:overlay val="0"/>
    </c:title>
    <c:autoTitleDeleted val="0"/>
    <c:view3D>
      <c:rotX val="30"/>
      <c:rotY val="0"/>
      <c:rAngAx val="1"/>
    </c:view3D>
    <c:floor>
      <c:thickness val="0"/>
    </c:floor>
    <c:sideWall>
      <c:thickness val="0"/>
    </c:sideWall>
    <c:backWall>
      <c:thickness val="0"/>
    </c:backWall>
    <c:plotArea>
      <c:layout>
        <c:manualLayout>
          <c:layoutTarget val="inner"/>
          <c:xMode val="edge"/>
          <c:yMode val="edge"/>
          <c:x val="1.3523198241645184E-3"/>
          <c:y val="0.29642762076836715"/>
          <c:w val="0.85295348660482029"/>
          <c:h val="0.58120675425486823"/>
        </c:manualLayout>
      </c:layout>
      <c:pie3DChart>
        <c:varyColors val="1"/>
        <c:ser>
          <c:idx val="0"/>
          <c:order val="0"/>
          <c:tx>
            <c:strRef>
              <c:f>SUMEXPEN!$P$297</c:f>
              <c:strCache>
                <c:ptCount val="1"/>
                <c:pt idx="0">
                  <c:v>2025-2026</c:v>
                </c:pt>
              </c:strCache>
            </c:strRef>
          </c:tx>
          <c:dPt>
            <c:idx val="0"/>
            <c:bubble3D val="0"/>
            <c:spPr>
              <a:solidFill>
                <a:srgbClr val="FFA400"/>
              </a:solidFill>
              <a:ln>
                <a:solidFill>
                  <a:srgbClr val="D28700"/>
                </a:solidFill>
              </a:ln>
            </c:spPr>
            <c:extLst>
              <c:ext xmlns:c16="http://schemas.microsoft.com/office/drawing/2014/chart" uri="{C3380CC4-5D6E-409C-BE32-E72D297353CC}">
                <c16:uniqueId val="{00000001-6F08-487A-9C7A-02880EE3903F}"/>
              </c:ext>
            </c:extLst>
          </c:dPt>
          <c:dPt>
            <c:idx val="1"/>
            <c:bubble3D val="0"/>
            <c:spPr>
              <a:solidFill>
                <a:srgbClr val="12284C"/>
              </a:solidFill>
              <a:ln>
                <a:solidFill>
                  <a:srgbClr val="005587"/>
                </a:solidFill>
              </a:ln>
            </c:spPr>
            <c:extLst>
              <c:ext xmlns:c16="http://schemas.microsoft.com/office/drawing/2014/chart" uri="{C3380CC4-5D6E-409C-BE32-E72D297353CC}">
                <c16:uniqueId val="{00000002-6F08-487A-9C7A-02880EE3903F}"/>
              </c:ext>
            </c:extLst>
          </c:dPt>
          <c:dPt>
            <c:idx val="2"/>
            <c:bubble3D val="0"/>
            <c:spPr>
              <a:solidFill>
                <a:srgbClr val="00B796"/>
              </a:solidFill>
              <a:ln>
                <a:solidFill>
                  <a:srgbClr val="008269"/>
                </a:solidFill>
              </a:ln>
            </c:spPr>
            <c:extLst>
              <c:ext xmlns:c16="http://schemas.microsoft.com/office/drawing/2014/chart" uri="{C3380CC4-5D6E-409C-BE32-E72D297353CC}">
                <c16:uniqueId val="{00000003-6F08-487A-9C7A-02880EE3903F}"/>
              </c:ext>
            </c:extLst>
          </c:dPt>
          <c:dPt>
            <c:idx val="3"/>
            <c:bubble3D val="0"/>
            <c:spPr>
              <a:solidFill>
                <a:srgbClr val="D50032"/>
              </a:solidFill>
              <a:ln>
                <a:solidFill>
                  <a:srgbClr val="B7312C"/>
                </a:solidFill>
              </a:ln>
            </c:spPr>
            <c:extLst>
              <c:ext xmlns:c16="http://schemas.microsoft.com/office/drawing/2014/chart" uri="{C3380CC4-5D6E-409C-BE32-E72D297353CC}">
                <c16:uniqueId val="{00000000-6F08-487A-9C7A-02880EE3903F}"/>
              </c:ext>
            </c:extLst>
          </c:dPt>
          <c:dPt>
            <c:idx val="4"/>
            <c:bubble3D val="0"/>
            <c:spPr>
              <a:solidFill>
                <a:srgbClr val="D28700"/>
              </a:solidFill>
              <a:ln>
                <a:solidFill>
                  <a:srgbClr val="FFA400"/>
                </a:solidFill>
              </a:ln>
            </c:spPr>
            <c:extLst>
              <c:ext xmlns:c16="http://schemas.microsoft.com/office/drawing/2014/chart" uri="{C3380CC4-5D6E-409C-BE32-E72D297353CC}">
                <c16:uniqueId val="{00000004-6F08-487A-9C7A-02880EE3903F}"/>
              </c:ext>
            </c:extLst>
          </c:dPt>
          <c:dPt>
            <c:idx val="5"/>
            <c:bubble3D val="0"/>
            <c:spPr>
              <a:solidFill>
                <a:srgbClr val="53565A"/>
              </a:solidFill>
              <a:ln>
                <a:solidFill>
                  <a:srgbClr val="C2C4C6"/>
                </a:solidFill>
              </a:ln>
            </c:spPr>
            <c:extLst>
              <c:ext xmlns:c16="http://schemas.microsoft.com/office/drawing/2014/chart" uri="{C3380CC4-5D6E-409C-BE32-E72D297353CC}">
                <c16:uniqueId val="{00000005-6F08-487A-9C7A-02880EE3903F}"/>
              </c:ext>
            </c:extLst>
          </c:dPt>
          <c:dPt>
            <c:idx val="6"/>
            <c:bubble3D val="0"/>
            <c:spPr>
              <a:solidFill>
                <a:srgbClr val="008269"/>
              </a:solidFill>
              <a:ln>
                <a:solidFill>
                  <a:srgbClr val="00B796"/>
                </a:solidFill>
              </a:ln>
            </c:spPr>
            <c:extLst>
              <c:ext xmlns:c16="http://schemas.microsoft.com/office/drawing/2014/chart" uri="{C3380CC4-5D6E-409C-BE32-E72D297353CC}">
                <c16:uniqueId val="{00000006-6F08-487A-9C7A-02880EE3903F}"/>
              </c:ext>
            </c:extLst>
          </c:dPt>
          <c:dPt>
            <c:idx val="7"/>
            <c:bubble3D val="0"/>
            <c:spPr>
              <a:solidFill>
                <a:srgbClr val="D28700"/>
              </a:solidFill>
              <a:ln>
                <a:solidFill>
                  <a:sysClr val="windowText" lastClr="000000"/>
                </a:solidFill>
              </a:ln>
            </c:spPr>
            <c:extLst>
              <c:ext xmlns:c16="http://schemas.microsoft.com/office/drawing/2014/chart" uri="{C3380CC4-5D6E-409C-BE32-E72D297353CC}">
                <c16:uniqueId val="{00000007-6F08-487A-9C7A-02880EE3903F}"/>
              </c:ext>
            </c:extLst>
          </c:dPt>
          <c:dPt>
            <c:idx val="8"/>
            <c:bubble3D val="0"/>
            <c:spPr>
              <a:solidFill>
                <a:srgbClr val="008269"/>
              </a:solidFill>
              <a:ln>
                <a:solidFill>
                  <a:sysClr val="windowText" lastClr="000000"/>
                </a:solidFill>
              </a:ln>
            </c:spPr>
            <c:extLst>
              <c:ext xmlns:c16="http://schemas.microsoft.com/office/drawing/2014/chart" uri="{C3380CC4-5D6E-409C-BE32-E72D297353CC}">
                <c16:uniqueId val="{0000000E-6CF0-484D-9AFC-2C5FE0CAB48D}"/>
              </c:ext>
            </c:extLst>
          </c:dPt>
          <c:dPt>
            <c:idx val="9"/>
            <c:bubble3D val="0"/>
            <c:spPr>
              <a:solidFill>
                <a:srgbClr val="C2C4C6"/>
              </a:solidFill>
              <a:ln>
                <a:solidFill>
                  <a:sysClr val="windowText" lastClr="000000"/>
                </a:solidFill>
              </a:ln>
            </c:spPr>
            <c:extLst>
              <c:ext xmlns:c16="http://schemas.microsoft.com/office/drawing/2014/chart" uri="{C3380CC4-5D6E-409C-BE32-E72D297353CC}">
                <c16:uniqueId val="{00000012-A327-4503-9607-4AB1FB504017}"/>
              </c:ext>
            </c:extLst>
          </c:dPt>
          <c:dPt>
            <c:idx val="10"/>
            <c:bubble3D val="0"/>
            <c:spPr>
              <a:solidFill>
                <a:srgbClr val="FFCE75"/>
              </a:solidFill>
              <a:ln>
                <a:solidFill>
                  <a:sysClr val="windowText" lastClr="000000"/>
                </a:solidFill>
              </a:ln>
            </c:spPr>
            <c:extLst>
              <c:ext xmlns:c16="http://schemas.microsoft.com/office/drawing/2014/chart" uri="{C3380CC4-5D6E-409C-BE32-E72D297353CC}">
                <c16:uniqueId val="{00000027-B5E0-4308-B498-E4E34FEF13DC}"/>
              </c:ext>
            </c:extLst>
          </c:dPt>
          <c:dPt>
            <c:idx val="11"/>
            <c:bubble3D val="0"/>
            <c:spPr>
              <a:solidFill>
                <a:srgbClr val="070F1B"/>
              </a:solidFill>
              <a:ln>
                <a:solidFill>
                  <a:sysClr val="windowText" lastClr="000000"/>
                </a:solidFill>
              </a:ln>
            </c:spPr>
            <c:extLst>
              <c:ext xmlns:c16="http://schemas.microsoft.com/office/drawing/2014/chart" uri="{C3380CC4-5D6E-409C-BE32-E72D297353CC}">
                <c16:uniqueId val="{00000028-B5E0-4308-B498-E4E34FEF13DC}"/>
              </c:ext>
            </c:extLst>
          </c:dPt>
          <c:dPt>
            <c:idx val="12"/>
            <c:bubble3D val="0"/>
            <c:spPr>
              <a:solidFill>
                <a:srgbClr val="7F241F"/>
              </a:solidFill>
              <a:ln>
                <a:solidFill>
                  <a:sysClr val="windowText" lastClr="000000"/>
                </a:solidFill>
              </a:ln>
            </c:spPr>
            <c:extLst>
              <c:ext xmlns:c16="http://schemas.microsoft.com/office/drawing/2014/chart" uri="{C3380CC4-5D6E-409C-BE32-E72D297353CC}">
                <c16:uniqueId val="{00000029-B5E0-4308-B498-E4E34FEF13DC}"/>
              </c:ext>
            </c:extLst>
          </c:dPt>
          <c:dPt>
            <c:idx val="13"/>
            <c:bubble3D val="0"/>
            <c:spPr>
              <a:solidFill>
                <a:srgbClr val="383A3C"/>
              </a:solidFill>
              <a:ln>
                <a:solidFill>
                  <a:sysClr val="windowText" lastClr="000000"/>
                </a:solidFill>
              </a:ln>
            </c:spPr>
            <c:extLst>
              <c:ext xmlns:c16="http://schemas.microsoft.com/office/drawing/2014/chart" uri="{C3380CC4-5D6E-409C-BE32-E72D297353CC}">
                <c16:uniqueId val="{0000002A-B5E0-4308-B498-E4E34FEF13DC}"/>
              </c:ext>
            </c:extLst>
          </c:dPt>
          <c:dLbls>
            <c:dLbl>
              <c:idx val="0"/>
              <c:layout>
                <c:manualLayout>
                  <c:x val="8.6394205734303259E-2"/>
                  <c:y val="-4.5319621999604827E-3"/>
                </c:manualLayout>
              </c:layout>
              <c:tx>
                <c:rich>
                  <a:bodyPr/>
                  <a:lstStyle/>
                  <a:p>
                    <a:fld id="{A1888497-42EF-4CED-880A-B7B541BF6149}" type="CELLRANGE">
                      <a:rPr lang="en-US" baseline="0"/>
                      <a:pPr/>
                      <a:t>[CELLRANGE]</a:t>
                    </a:fld>
                    <a:r>
                      <a:rPr lang="en-US" baseline="0"/>
                      <a:t>
</a:t>
                    </a:r>
                    <a:fld id="{EB530EFB-85FF-4409-80DF-271CF676C757}" type="VALUE">
                      <a:rPr lang="en-US" baseline="0"/>
                      <a:pPr/>
                      <a:t>[VALUE]</a:t>
                    </a:fld>
                    <a:endParaRPr lang="en-US" baseline="0"/>
                  </a:p>
                </c:rich>
              </c:tx>
              <c:showLegendKey val="0"/>
              <c:showVal val="1"/>
              <c:showCatName val="0"/>
              <c:showSerName val="0"/>
              <c:showPercent val="0"/>
              <c:showBubbleSize val="0"/>
              <c:separator>
</c:separator>
              <c:extLst>
                <c:ext xmlns:c15="http://schemas.microsoft.com/office/drawing/2012/chart" uri="{CE6537A1-D6FC-4f65-9D91-7224C49458BB}">
                  <c15:layout>
                    <c:manualLayout>
                      <c:w val="9.4208469432302933E-2"/>
                      <c:h val="8.541090850455467E-2"/>
                    </c:manualLayout>
                  </c15:layout>
                  <c15:dlblFieldTable/>
                  <c15:showDataLabelsRange val="1"/>
                </c:ext>
                <c:ext xmlns:c16="http://schemas.microsoft.com/office/drawing/2014/chart" uri="{C3380CC4-5D6E-409C-BE32-E72D297353CC}">
                  <c16:uniqueId val="{00000001-6F08-487A-9C7A-02880EE3903F}"/>
                </c:ext>
              </c:extLst>
            </c:dLbl>
            <c:dLbl>
              <c:idx val="1"/>
              <c:layout>
                <c:manualLayout>
                  <c:x val="1.8036072144288578E-2"/>
                  <c:y val="-6.9294678606549406E-2"/>
                </c:manualLayout>
              </c:layout>
              <c:tx>
                <c:rich>
                  <a:bodyPr wrap="square" lIns="38100" tIns="19050" rIns="38100" bIns="19050" anchor="ctr">
                    <a:noAutofit/>
                  </a:bodyPr>
                  <a:lstStyle/>
                  <a:p>
                    <a:pPr>
                      <a:defRPr sz="900" baseline="0">
                        <a:solidFill>
                          <a:sysClr val="windowText" lastClr="000000"/>
                        </a:solidFill>
                        <a:latin typeface="Arial" panose="020B0604020202020204" pitchFamily="34" charset="0"/>
                        <a:ea typeface="Open Sans Light" panose="020B0306030504020204" pitchFamily="34" charset="0"/>
                        <a:cs typeface="Arial" panose="020B0604020202020204" pitchFamily="34" charset="0"/>
                      </a:defRPr>
                    </a:pPr>
                    <a:endParaRPr lang="en-US" baseline="0"/>
                  </a:p>
                </c:rich>
              </c:tx>
              <c:spPr>
                <a:noFill/>
                <a:ln>
                  <a:noFill/>
                </a:ln>
                <a:effectLst/>
              </c:spPr>
              <c:showLegendKey val="0"/>
              <c:showVal val="1"/>
              <c:showCatName val="0"/>
              <c:showSerName val="0"/>
              <c:showPercent val="0"/>
              <c:showBubbleSize val="0"/>
              <c:separator>
</c:separator>
              <c:extLst>
                <c:ext xmlns:c15="http://schemas.microsoft.com/office/drawing/2012/chart" uri="{CE6537A1-D6FC-4f65-9D91-7224C49458BB}">
                  <c15:layout>
                    <c:manualLayout>
                      <c:w val="0.17768871075484302"/>
                      <c:h val="0.12077946116093632"/>
                    </c:manualLayout>
                  </c15:layout>
                  <c15:showDataLabelsRange val="1"/>
                </c:ext>
                <c:ext xmlns:c16="http://schemas.microsoft.com/office/drawing/2014/chart" uri="{C3380CC4-5D6E-409C-BE32-E72D297353CC}">
                  <c16:uniqueId val="{00000002-6F08-487A-9C7A-02880EE3903F}"/>
                </c:ext>
              </c:extLst>
            </c:dLbl>
            <c:dLbl>
              <c:idx val="2"/>
              <c:tx>
                <c:rich>
                  <a:bodyPr/>
                  <a:lstStyle/>
                  <a:p>
                    <a:endParaRPr lang="en-US"/>
                  </a:p>
                </c:rich>
              </c:tx>
              <c:showLegendKey val="0"/>
              <c:showVal val="1"/>
              <c:showCatName val="0"/>
              <c:showSerName val="0"/>
              <c:showPercent val="0"/>
              <c:showBubbleSize val="0"/>
              <c:separator>
</c:separator>
              <c:extLst>
                <c:ext xmlns:c15="http://schemas.microsoft.com/office/drawing/2012/chart" uri="{CE6537A1-D6FC-4f65-9D91-7224C49458BB}">
                  <c15:showDataLabelsRange val="0"/>
                </c:ext>
                <c:ext xmlns:c16="http://schemas.microsoft.com/office/drawing/2014/chart" uri="{C3380CC4-5D6E-409C-BE32-E72D297353CC}">
                  <c16:uniqueId val="{00000003-6F08-487A-9C7A-02880EE3903F}"/>
                </c:ext>
              </c:extLst>
            </c:dLbl>
            <c:dLbl>
              <c:idx val="3"/>
              <c:layout>
                <c:manualLayout>
                  <c:x val="3.0469968809009096E-2"/>
                  <c:y val="-3.6322978672183905E-2"/>
                </c:manualLayout>
              </c:layout>
              <c:tx>
                <c:rich>
                  <a:bodyPr wrap="square" lIns="38100" tIns="19050" rIns="38100" bIns="19050" anchor="ctr">
                    <a:noAutofit/>
                  </a:bodyPr>
                  <a:lstStyle/>
                  <a:p>
                    <a:pPr>
                      <a:defRPr sz="900" baseline="0">
                        <a:solidFill>
                          <a:sysClr val="windowText" lastClr="000000"/>
                        </a:solidFill>
                        <a:latin typeface="Arial" panose="020B0604020202020204" pitchFamily="34" charset="0"/>
                        <a:ea typeface="Open Sans Light" panose="020B0306030504020204" pitchFamily="34" charset="0"/>
                        <a:cs typeface="Arial" panose="020B0604020202020204" pitchFamily="34" charset="0"/>
                      </a:defRPr>
                    </a:pPr>
                    <a:endParaRPr lang="en-US" baseline="0"/>
                  </a:p>
                </c:rich>
              </c:tx>
              <c:spPr>
                <a:noFill/>
                <a:ln>
                  <a:noFill/>
                </a:ln>
                <a:effectLst/>
              </c:spPr>
              <c:showLegendKey val="0"/>
              <c:showVal val="1"/>
              <c:showCatName val="0"/>
              <c:showSerName val="0"/>
              <c:showPercent val="0"/>
              <c:showBubbleSize val="0"/>
              <c:separator>
</c:separator>
              <c:extLst>
                <c:ext xmlns:c15="http://schemas.microsoft.com/office/drawing/2012/chart" uri="{CE6537A1-D6FC-4f65-9D91-7224C49458BB}">
                  <c15:layout>
                    <c:manualLayout>
                      <c:w val="0.16700740062802771"/>
                      <c:h val="8.7772559315220627E-2"/>
                    </c:manualLayout>
                  </c15:layout>
                  <c15:showDataLabelsRange val="1"/>
                </c:ext>
                <c:ext xmlns:c16="http://schemas.microsoft.com/office/drawing/2014/chart" uri="{C3380CC4-5D6E-409C-BE32-E72D297353CC}">
                  <c16:uniqueId val="{00000000-6F08-487A-9C7A-02880EE3903F}"/>
                </c:ext>
              </c:extLst>
            </c:dLbl>
            <c:dLbl>
              <c:idx val="4"/>
              <c:layout>
                <c:manualLayout>
                  <c:x val="1.5689541813285364E-2"/>
                  <c:y val="-0.14513606106509633"/>
                </c:manualLayout>
              </c:layout>
              <c:tx>
                <c:rich>
                  <a:bodyPr/>
                  <a:lstStyle/>
                  <a:p>
                    <a:endParaRPr lang="en-US" baseline="0"/>
                  </a:p>
                </c:rich>
              </c:tx>
              <c:showLegendKey val="0"/>
              <c:showVal val="1"/>
              <c:showCatName val="0"/>
              <c:showSerName val="0"/>
              <c:showPercent val="0"/>
              <c:showBubbleSize val="0"/>
              <c:separator>
</c:separator>
              <c:extLst>
                <c:ext xmlns:c15="http://schemas.microsoft.com/office/drawing/2012/chart" uri="{CE6537A1-D6FC-4f65-9D91-7224C49458BB}">
                  <c15:showDataLabelsRange val="0"/>
                </c:ext>
                <c:ext xmlns:c16="http://schemas.microsoft.com/office/drawing/2014/chart" uri="{C3380CC4-5D6E-409C-BE32-E72D297353CC}">
                  <c16:uniqueId val="{00000004-6F08-487A-9C7A-02880EE3903F}"/>
                </c:ext>
              </c:extLst>
            </c:dLbl>
            <c:dLbl>
              <c:idx val="5"/>
              <c:layout>
                <c:manualLayout>
                  <c:x val="0.18280066695069927"/>
                  <c:y val="-5.390775282353398E-2"/>
                </c:manualLayout>
              </c:layout>
              <c:tx>
                <c:rich>
                  <a:bodyPr wrap="square" lIns="38100" tIns="19050" rIns="38100" bIns="19050" anchor="ctr">
                    <a:noAutofit/>
                  </a:bodyPr>
                  <a:lstStyle/>
                  <a:p>
                    <a:pPr>
                      <a:defRPr sz="900" baseline="0">
                        <a:solidFill>
                          <a:sysClr val="windowText" lastClr="000000"/>
                        </a:solidFill>
                        <a:latin typeface="Arial" panose="020B0604020202020204" pitchFamily="34" charset="0"/>
                        <a:ea typeface="Open Sans Light" panose="020B0306030504020204" pitchFamily="34" charset="0"/>
                        <a:cs typeface="Arial" panose="020B0604020202020204" pitchFamily="34" charset="0"/>
                      </a:defRPr>
                    </a:pPr>
                    <a:endParaRPr lang="en-US" baseline="0"/>
                  </a:p>
                </c:rich>
              </c:tx>
              <c:spPr>
                <a:noFill/>
                <a:ln>
                  <a:noFill/>
                </a:ln>
                <a:effectLst/>
              </c:spPr>
              <c:showLegendKey val="0"/>
              <c:showVal val="1"/>
              <c:showCatName val="0"/>
              <c:showSerName val="0"/>
              <c:showPercent val="0"/>
              <c:showBubbleSize val="0"/>
              <c:separator>
</c:separator>
              <c:extLst>
                <c:ext xmlns:c15="http://schemas.microsoft.com/office/drawing/2012/chart" uri="{CE6537A1-D6FC-4f65-9D91-7224C49458BB}">
                  <c15:layout>
                    <c:manualLayout>
                      <c:w val="0.16700740062802771"/>
                      <c:h val="0.11661541571186212"/>
                    </c:manualLayout>
                  </c15:layout>
                  <c15:showDataLabelsRange val="1"/>
                </c:ext>
                <c:ext xmlns:c16="http://schemas.microsoft.com/office/drawing/2014/chart" uri="{C3380CC4-5D6E-409C-BE32-E72D297353CC}">
                  <c16:uniqueId val="{00000005-6F08-487A-9C7A-02880EE3903F}"/>
                </c:ext>
              </c:extLst>
            </c:dLbl>
            <c:dLbl>
              <c:idx val="6"/>
              <c:layout>
                <c:manualLayout>
                  <c:x val="0.12160073427695285"/>
                  <c:y val="-2.0581762684611316E-2"/>
                </c:manualLayout>
              </c:layout>
              <c:tx>
                <c:rich>
                  <a:bodyPr/>
                  <a:lstStyle/>
                  <a:p>
                    <a:endParaRPr lang="en-US" baseline="0"/>
                  </a:p>
                </c:rich>
              </c:tx>
              <c:showLegendKey val="0"/>
              <c:showVal val="1"/>
              <c:showCatName val="0"/>
              <c:showSerName val="0"/>
              <c:showPercent val="0"/>
              <c:showBubbleSize val="0"/>
              <c:separator>
</c:separator>
              <c:extLst>
                <c:ext xmlns:c15="http://schemas.microsoft.com/office/drawing/2012/chart" uri="{CE6537A1-D6FC-4f65-9D91-7224C49458BB}">
                  <c15:showDataLabelsRange val="0"/>
                </c:ext>
                <c:ext xmlns:c16="http://schemas.microsoft.com/office/drawing/2014/chart" uri="{C3380CC4-5D6E-409C-BE32-E72D297353CC}">
                  <c16:uniqueId val="{00000006-6F08-487A-9C7A-02880EE3903F}"/>
                </c:ext>
              </c:extLst>
            </c:dLbl>
            <c:dLbl>
              <c:idx val="7"/>
              <c:layout>
                <c:manualLayout>
                  <c:x val="0.15728690977756038"/>
                  <c:y val="-1.7877744897426173E-2"/>
                </c:manualLayout>
              </c:layout>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7-6F08-487A-9C7A-02880EE3903F}"/>
                </c:ext>
              </c:extLst>
            </c:dLbl>
            <c:spPr>
              <a:noFill/>
              <a:ln>
                <a:noFill/>
              </a:ln>
              <a:effectLst/>
            </c:spPr>
            <c:txPr>
              <a:bodyPr wrap="square" lIns="38100" tIns="19050" rIns="38100" bIns="19050" anchor="ctr">
                <a:spAutoFit/>
              </a:bodyPr>
              <a:lstStyle/>
              <a:p>
                <a:pPr>
                  <a:defRPr sz="900" baseline="0">
                    <a:solidFill>
                      <a:sysClr val="windowText" lastClr="000000"/>
                    </a:solidFill>
                    <a:latin typeface="Arial" panose="020B0604020202020204" pitchFamily="34" charset="0"/>
                    <a:ea typeface="Open Sans Light" panose="020B0306030504020204" pitchFamily="34" charset="0"/>
                    <a:cs typeface="Arial" panose="020B0604020202020204" pitchFamily="34" charset="0"/>
                  </a:defRPr>
                </a:pPr>
                <a:endParaRPr lang="en-US"/>
              </a:p>
            </c:txPr>
            <c:showLegendKey val="0"/>
            <c:showVal val="1"/>
            <c:showCatName val="0"/>
            <c:showSerName val="0"/>
            <c:showPercent val="0"/>
            <c:showBubbleSize val="0"/>
            <c:separator>
</c:separator>
            <c:showLeaderLines val="1"/>
            <c:extLst>
              <c:ext xmlns:c15="http://schemas.microsoft.com/office/drawing/2012/chart" uri="{CE6537A1-D6FC-4f65-9D91-7224C49458BB}">
                <c15:showDataLabelsRange val="1"/>
              </c:ext>
            </c:extLst>
          </c:dLbls>
          <c:cat>
            <c:strRef>
              <c:f>(SUMEXPEN!$O$298:$O$303,SUMEXPEN!$O$305)</c:f>
              <c:strCache>
                <c:ptCount val="7"/>
                <c:pt idx="0">
                  <c:v>Instruction: 100%</c:v>
                </c:pt>
                <c:pt idx="1">
                  <c:v>Student Support: 0%</c:v>
                </c:pt>
                <c:pt idx="2">
                  <c:v>Instructional Support: 0%</c:v>
                </c:pt>
                <c:pt idx="3">
                  <c:v>Administraton &amp; Support: 0%</c:v>
                </c:pt>
                <c:pt idx="4">
                  <c:v>Operations &amp; Maintenance: 0%</c:v>
                </c:pt>
                <c:pt idx="5">
                  <c:v>Transportation: 0%</c:v>
                </c:pt>
                <c:pt idx="6">
                  <c:v>Other Costs: 0%</c:v>
                </c:pt>
              </c:strCache>
            </c:strRef>
          </c:cat>
          <c:val>
            <c:numRef>
              <c:f>(SUMEXPEN!$P$298:$P$303,SUMEXPEN!$P$305)</c:f>
              <c:numCache>
                <c:formatCode>0%</c:formatCode>
                <c:ptCount val="7"/>
                <c:pt idx="0">
                  <c:v>1</c:v>
                </c:pt>
                <c:pt idx="1">
                  <c:v>#N/A</c:v>
                </c:pt>
                <c:pt idx="2">
                  <c:v>#N/A</c:v>
                </c:pt>
                <c:pt idx="3">
                  <c:v>#N/A</c:v>
                </c:pt>
                <c:pt idx="4">
                  <c:v>#N/A</c:v>
                </c:pt>
                <c:pt idx="5">
                  <c:v>#N/A</c:v>
                </c:pt>
                <c:pt idx="6">
                  <c:v>#N/A</c:v>
                </c:pt>
              </c:numCache>
            </c:numRef>
          </c:val>
          <c:extLst>
            <c:ext xmlns:c15="http://schemas.microsoft.com/office/drawing/2012/chart" uri="{02D57815-91ED-43cb-92C2-25804820EDAC}">
              <c15:datalabelsRange>
                <c15:f>(SUMEXPEN!$Q$298:$Q$303,SUMEXPEN!$Q$305)</c15:f>
                <c15:dlblRangeCache>
                  <c:ptCount val="7"/>
                  <c:pt idx="0">
                    <c:v>Instruction</c:v>
                  </c:pt>
                  <c:pt idx="1">
                    <c:v>Student Support</c:v>
                  </c:pt>
                  <c:pt idx="2">
                    <c:v>Instructional Support</c:v>
                  </c:pt>
                  <c:pt idx="3">
                    <c:v>Administraton &amp; Support</c:v>
                  </c:pt>
                  <c:pt idx="4">
                    <c:v>Operations &amp; Maintenance</c:v>
                  </c:pt>
                  <c:pt idx="5">
                    <c:v>Transportation</c:v>
                  </c:pt>
                  <c:pt idx="6">
                    <c:v>Other Costs</c:v>
                  </c:pt>
                </c15:dlblRangeCache>
              </c15:datalabelsRange>
            </c:ext>
            <c:ext xmlns:c16="http://schemas.microsoft.com/office/drawing/2014/chart" uri="{C3380CC4-5D6E-409C-BE32-E72D297353CC}">
              <c16:uniqueId val="{00000000-5C91-4ED5-A85B-5F66A849B5EA}"/>
            </c:ext>
          </c:extLst>
        </c:ser>
        <c:dLbls>
          <c:showLegendKey val="0"/>
          <c:showVal val="0"/>
          <c:showCatName val="1"/>
          <c:showSerName val="0"/>
          <c:showPercent val="1"/>
          <c:showBubbleSize val="0"/>
          <c:showLeaderLines val="1"/>
        </c:dLbls>
      </c:pie3DChart>
    </c:plotArea>
    <c:legend>
      <c:legendPos val="r"/>
      <c:layout>
        <c:manualLayout>
          <c:xMode val="edge"/>
          <c:yMode val="edge"/>
          <c:x val="0.76452320408723951"/>
          <c:y val="0.14634665001152475"/>
          <c:w val="0.23547679591276036"/>
          <c:h val="0.8536533499884752"/>
        </c:manualLayout>
      </c:layout>
      <c:overlay val="0"/>
      <c:txPr>
        <a:bodyPr/>
        <a:lstStyle/>
        <a:p>
          <a:pPr>
            <a:defRPr sz="900" baseline="0">
              <a:latin typeface="Arial" panose="020B0604020202020204" pitchFamily="34" charset="0"/>
              <a:ea typeface="Open Sans Light" panose="020B0306030504020204" pitchFamily="34" charset="0"/>
              <a:cs typeface="Arial" panose="020B0604020202020204" pitchFamily="34" charset="0"/>
            </a:defRPr>
          </a:pPr>
          <a:endParaRPr lang="en-US"/>
        </a:p>
      </c:txPr>
    </c:legend>
    <c:plotVisOnly val="1"/>
    <c:dispBlanksAs val="gap"/>
    <c:showDLblsOverMax val="0"/>
  </c:chart>
  <c:spPr>
    <a:noFill/>
    <a:ln>
      <a:solidFill>
        <a:srgbClr val="53565A"/>
      </a:solidFill>
    </a:ln>
  </c:spPr>
  <c:printSettings>
    <c:headerFooter alignWithMargins="0"/>
    <c:pageMargins b="0.5" l="0.25" r="0.25" t="0.5" header="0.3" footer="0.3"/>
    <c:pageSetup orientation="landscape"/>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34"/>
    </mc:Choice>
    <mc:Fallback>
      <c:style val="34"/>
    </mc:Fallback>
  </mc:AlternateContent>
  <c:clrMapOvr bg1="lt1" tx1="dk1" bg2="lt2" tx2="dk2" accent1="accent1" accent2="accent2" accent3="accent3" accent4="accent4" accent5="accent5" accent6="accent6" hlink="hlink" folHlink="folHlink"/>
  <c:chart>
    <c:title>
      <c:tx>
        <c:rich>
          <a:bodyPr/>
          <a:lstStyle/>
          <a:p>
            <a:pPr>
              <a:defRPr sz="1400" b="0">
                <a:solidFill>
                  <a:srgbClr val="53565A"/>
                </a:solidFill>
                <a:latin typeface="Open Sans Semibold" panose="020B0706030804020204" pitchFamily="34" charset="0"/>
                <a:ea typeface="Open Sans Semibold" panose="020B0706030804020204" pitchFamily="34" charset="0"/>
                <a:cs typeface="Open Sans Semibold" panose="020B0706030804020204" pitchFamily="34" charset="0"/>
              </a:defRPr>
            </a:pPr>
            <a:r>
              <a:rPr lang="en-US">
                <a:latin typeface="Arial" panose="020B0604020202020204" pitchFamily="34" charset="0"/>
                <a:cs typeface="Arial" panose="020B0604020202020204" pitchFamily="34" charset="0"/>
              </a:rPr>
              <a:t>Central Services Expenditures (2500)</a:t>
            </a:r>
          </a:p>
        </c:rich>
      </c:tx>
      <c:layout>
        <c:manualLayout>
          <c:xMode val="edge"/>
          <c:yMode val="edge"/>
          <c:x val="0.34079309687107945"/>
          <c:y val="4.3923768154309505E-2"/>
        </c:manualLayout>
      </c:layout>
      <c:overlay val="0"/>
    </c:title>
    <c:autoTitleDeleted val="0"/>
    <c:view3D>
      <c:rotX val="15"/>
      <c:rotY val="20"/>
      <c:depthPercent val="100"/>
      <c:rAngAx val="1"/>
    </c:view3D>
    <c:floor>
      <c:thickness val="0"/>
      <c:spPr>
        <a:gradFill flip="none" rotWithShape="1">
          <a:gsLst>
            <a:gs pos="0">
              <a:srgbClr val="12284C">
                <a:lumMod val="5000"/>
                <a:lumOff val="95000"/>
              </a:srgbClr>
            </a:gs>
            <a:gs pos="74000">
              <a:srgbClr val="12284C">
                <a:lumMod val="45000"/>
                <a:lumOff val="55000"/>
              </a:srgbClr>
            </a:gs>
            <a:gs pos="83000">
              <a:srgbClr val="12284C">
                <a:lumMod val="45000"/>
                <a:lumOff val="55000"/>
              </a:srgbClr>
            </a:gs>
            <a:gs pos="100000">
              <a:srgbClr val="12284C">
                <a:lumMod val="30000"/>
                <a:lumOff val="70000"/>
              </a:srgbClr>
            </a:gs>
          </a:gsLst>
          <a:path path="circle">
            <a:fillToRect l="100000" t="100000"/>
          </a:path>
          <a:tileRect r="-100000" b="-100000"/>
        </a:gradFill>
        <a:ln>
          <a:solidFill>
            <a:srgbClr val="12284C"/>
          </a:solidFill>
        </a:ln>
      </c:spPr>
    </c:floor>
    <c:sideWall>
      <c:thickness val="0"/>
      <c:spPr>
        <a:gradFill flip="none" rotWithShape="1">
          <a:gsLst>
            <a:gs pos="0">
              <a:srgbClr val="12284C">
                <a:lumMod val="5000"/>
                <a:lumOff val="95000"/>
              </a:srgbClr>
            </a:gs>
            <a:gs pos="74000">
              <a:srgbClr val="12284C">
                <a:lumMod val="45000"/>
                <a:lumOff val="55000"/>
              </a:srgbClr>
            </a:gs>
            <a:gs pos="83000">
              <a:srgbClr val="12284C">
                <a:lumMod val="45000"/>
                <a:lumOff val="55000"/>
              </a:srgbClr>
            </a:gs>
            <a:gs pos="100000">
              <a:srgbClr val="12284C">
                <a:lumMod val="30000"/>
                <a:lumOff val="70000"/>
              </a:srgbClr>
            </a:gs>
          </a:gsLst>
          <a:path path="circle">
            <a:fillToRect l="100000" t="100000"/>
          </a:path>
          <a:tileRect r="-100000" b="-100000"/>
        </a:gradFill>
        <a:ln>
          <a:solidFill>
            <a:srgbClr val="12284C"/>
          </a:solidFill>
        </a:ln>
      </c:spPr>
    </c:sideWall>
    <c:backWall>
      <c:thickness val="0"/>
      <c:spPr>
        <a:gradFill flip="none" rotWithShape="1">
          <a:gsLst>
            <a:gs pos="0">
              <a:srgbClr val="12284C">
                <a:lumMod val="5000"/>
                <a:lumOff val="95000"/>
              </a:srgbClr>
            </a:gs>
            <a:gs pos="74000">
              <a:srgbClr val="12284C">
                <a:lumMod val="45000"/>
                <a:lumOff val="55000"/>
              </a:srgbClr>
            </a:gs>
            <a:gs pos="83000">
              <a:srgbClr val="12284C">
                <a:lumMod val="45000"/>
                <a:lumOff val="55000"/>
              </a:srgbClr>
            </a:gs>
            <a:gs pos="100000">
              <a:srgbClr val="12284C">
                <a:lumMod val="30000"/>
                <a:lumOff val="70000"/>
              </a:srgbClr>
            </a:gs>
          </a:gsLst>
          <a:path path="circle">
            <a:fillToRect l="100000" t="100000"/>
          </a:path>
          <a:tileRect r="-100000" b="-100000"/>
        </a:gradFill>
        <a:ln>
          <a:solidFill>
            <a:srgbClr val="12284C"/>
          </a:solidFill>
        </a:ln>
      </c:spPr>
    </c:backWall>
    <c:plotArea>
      <c:layout>
        <c:manualLayout>
          <c:layoutTarget val="inner"/>
          <c:xMode val="edge"/>
          <c:yMode val="edge"/>
          <c:x val="3.0575644109563874E-2"/>
          <c:y val="0.16386807517302321"/>
          <c:w val="0.96942435589043607"/>
          <c:h val="0.72190394631117549"/>
        </c:manualLayout>
      </c:layout>
      <c:bar3DChart>
        <c:barDir val="col"/>
        <c:grouping val="clustered"/>
        <c:varyColors val="0"/>
        <c:ser>
          <c:idx val="0"/>
          <c:order val="0"/>
          <c:tx>
            <c:strRef>
              <c:f>SUMEXPEN!$O$695</c:f>
              <c:strCache>
                <c:ptCount val="1"/>
                <c:pt idx="0">
                  <c:v>Central Services Expenditures (2500)</c:v>
                </c:pt>
              </c:strCache>
            </c:strRef>
          </c:tx>
          <c:spPr>
            <a:solidFill>
              <a:srgbClr val="FFA400"/>
            </a:solidFill>
            <a:ln>
              <a:solidFill>
                <a:srgbClr val="D28700"/>
              </a:solidFill>
            </a:ln>
          </c:spPr>
          <c:invertIfNegative val="0"/>
          <c:dPt>
            <c:idx val="1"/>
            <c:invertIfNegative val="0"/>
            <c:bubble3D val="0"/>
            <c:spPr>
              <a:solidFill>
                <a:srgbClr val="00B796"/>
              </a:solidFill>
              <a:ln>
                <a:solidFill>
                  <a:srgbClr val="008269"/>
                </a:solidFill>
              </a:ln>
            </c:spPr>
            <c:extLst>
              <c:ext xmlns:c16="http://schemas.microsoft.com/office/drawing/2014/chart" uri="{C3380CC4-5D6E-409C-BE32-E72D297353CC}">
                <c16:uniqueId val="{00000003-EA90-4AD3-ABE4-5B34F4836766}"/>
              </c:ext>
            </c:extLst>
          </c:dPt>
          <c:dPt>
            <c:idx val="2"/>
            <c:invertIfNegative val="0"/>
            <c:bubble3D val="0"/>
            <c:spPr>
              <a:solidFill>
                <a:srgbClr val="B7312C"/>
              </a:solidFill>
              <a:ln>
                <a:solidFill>
                  <a:srgbClr val="7F241F"/>
                </a:solidFill>
              </a:ln>
            </c:spPr>
            <c:extLst>
              <c:ext xmlns:c16="http://schemas.microsoft.com/office/drawing/2014/chart" uri="{C3380CC4-5D6E-409C-BE32-E72D297353CC}">
                <c16:uniqueId val="{00000004-EA90-4AD3-ABE4-5B34F4836766}"/>
              </c:ext>
            </c:extLst>
          </c:dPt>
          <c:dPt>
            <c:idx val="3"/>
            <c:invertIfNegative val="0"/>
            <c:bubble3D val="0"/>
            <c:spPr>
              <a:solidFill>
                <a:srgbClr val="005587"/>
              </a:solidFill>
              <a:ln>
                <a:solidFill>
                  <a:srgbClr val="12284C"/>
                </a:solidFill>
              </a:ln>
            </c:spPr>
            <c:extLst>
              <c:ext xmlns:c16="http://schemas.microsoft.com/office/drawing/2014/chart" uri="{C3380CC4-5D6E-409C-BE32-E72D297353CC}">
                <c16:uniqueId val="{00000005-D4E3-40AF-8345-71890A74772B}"/>
              </c:ext>
            </c:extLst>
          </c:dPt>
          <c:dPt>
            <c:idx val="4"/>
            <c:invertIfNegative val="0"/>
            <c:bubble3D val="0"/>
            <c:spPr>
              <a:solidFill>
                <a:srgbClr val="53565A"/>
              </a:solidFill>
              <a:ln>
                <a:solidFill>
                  <a:srgbClr val="383A3C"/>
                </a:solidFill>
              </a:ln>
            </c:spPr>
            <c:extLst>
              <c:ext xmlns:c16="http://schemas.microsoft.com/office/drawing/2014/chart" uri="{C3380CC4-5D6E-409C-BE32-E72D297353CC}">
                <c16:uniqueId val="{00000006-D4E3-40AF-8345-71890A74772B}"/>
              </c:ext>
            </c:extLst>
          </c:dPt>
          <c:dLbls>
            <c:dLbl>
              <c:idx val="0"/>
              <c:layout>
                <c:manualLayout>
                  <c:x val="1.0132073464371864E-2"/>
                  <c:y val="-3.8826413992771473E-2"/>
                </c:manualLayout>
              </c:layout>
              <c:spPr>
                <a:noFill/>
                <a:ln>
                  <a:noFill/>
                </a:ln>
                <a:effectLst/>
              </c:spPr>
              <c:txPr>
                <a:bodyPr vertOverflow="clip" horzOverflow="clip" wrap="square" lIns="38100" tIns="19050" rIns="38100" bIns="19050" anchor="ctr" anchorCtr="0">
                  <a:spAutoFit/>
                </a:bodyPr>
                <a:lstStyle/>
                <a:p>
                  <a:pPr algn="l">
                    <a:defRPr sz="900">
                      <a:latin typeface="Arial" panose="020B0604020202020204" pitchFamily="34" charset="0"/>
                      <a:ea typeface="Open Sans Light" panose="020B0306030504020204" pitchFamily="34" charset="0"/>
                      <a:cs typeface="Arial" panose="020B0604020202020204" pitchFamily="34" charset="0"/>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B89A-43E1-B6B0-9C74BAE5742A}"/>
                </c:ext>
              </c:extLst>
            </c:dLbl>
            <c:dLbl>
              <c:idx val="1"/>
              <c:layout>
                <c:manualLayout>
                  <c:x val="1.5129283485714557E-2"/>
                  <c:y val="-4.8005172389448875E-2"/>
                </c:manualLayout>
              </c:layout>
              <c:spPr>
                <a:noFill/>
                <a:ln>
                  <a:noFill/>
                </a:ln>
                <a:effectLst/>
              </c:spPr>
              <c:txPr>
                <a:bodyPr vertOverflow="clip" horzOverflow="clip" wrap="none" lIns="38100" tIns="19050" rIns="38100" bIns="19050" anchor="ctr" anchorCtr="0">
                  <a:spAutoFit/>
                </a:bodyPr>
                <a:lstStyle/>
                <a:p>
                  <a:pPr algn="l">
                    <a:defRPr sz="900">
                      <a:latin typeface="Arial" panose="020B0604020202020204" pitchFamily="34" charset="0"/>
                      <a:ea typeface="Open Sans Light" panose="020B0306030504020204" pitchFamily="34" charset="0"/>
                      <a:cs typeface="Arial" panose="020B0604020202020204" pitchFamily="34" charset="0"/>
                    </a:defRPr>
                  </a:pPr>
                  <a:endParaRPr lang="en-US"/>
                </a:p>
              </c:txP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3-EA90-4AD3-ABE4-5B34F4836766}"/>
                </c:ext>
              </c:extLst>
            </c:dLbl>
            <c:dLbl>
              <c:idx val="2"/>
              <c:layout>
                <c:manualLayout>
                  <c:x val="1.3026819748704328E-2"/>
                  <c:y val="-1.5037589533600872E-2"/>
                </c:manualLayout>
              </c:layout>
              <c:spPr>
                <a:noFill/>
                <a:ln>
                  <a:noFill/>
                </a:ln>
                <a:effectLst/>
              </c:spPr>
              <c:txPr>
                <a:bodyPr vertOverflow="clip" horzOverflow="clip" wrap="square" lIns="38100" tIns="19050" rIns="38100" bIns="19050" anchor="ctr" anchorCtr="0">
                  <a:spAutoFit/>
                </a:bodyPr>
                <a:lstStyle/>
                <a:p>
                  <a:pPr algn="l">
                    <a:defRPr sz="900">
                      <a:latin typeface="Arial" panose="020B0604020202020204" pitchFamily="34" charset="0"/>
                      <a:ea typeface="Open Sans Light" panose="020B0306030504020204" pitchFamily="34" charset="0"/>
                      <a:cs typeface="Arial" panose="020B0604020202020204" pitchFamily="34" charset="0"/>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EA90-4AD3-ABE4-5B34F4836766}"/>
                </c:ext>
              </c:extLst>
            </c:dLbl>
            <c:dLbl>
              <c:idx val="3"/>
              <c:layout>
                <c:manualLayout>
                  <c:x val="1.1579395332181518E-2"/>
                  <c:y val="-2.631578168380152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D4E3-40AF-8345-71890A74772B}"/>
                </c:ext>
              </c:extLst>
            </c:dLbl>
            <c:dLbl>
              <c:idx val="4"/>
              <c:layout>
                <c:manualLayout>
                  <c:x val="1.158161418747738E-2"/>
                  <c:y val="-2.674156309700396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D4E3-40AF-8345-71890A74772B}"/>
                </c:ext>
              </c:extLst>
            </c:dLbl>
            <c:spPr>
              <a:noFill/>
              <a:ln>
                <a:noFill/>
              </a:ln>
              <a:effectLst/>
            </c:spPr>
            <c:txPr>
              <a:bodyPr wrap="square" lIns="38100" tIns="19050" rIns="38100" bIns="19050" anchor="ctr" anchorCtr="0">
                <a:spAutoFit/>
              </a:bodyPr>
              <a:lstStyle/>
              <a:p>
                <a:pPr algn="l">
                  <a:defRPr sz="900">
                    <a:latin typeface="Arial" panose="020B0604020202020204" pitchFamily="34" charset="0"/>
                    <a:ea typeface="Open Sans Light" panose="020B0306030504020204" pitchFamily="34" charset="0"/>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SUMEXPEN!$P$694:$R$694</c:f>
              <c:strCache>
                <c:ptCount val="3"/>
                <c:pt idx="0">
                  <c:v>2023-2024</c:v>
                </c:pt>
                <c:pt idx="1">
                  <c:v>2024-2025</c:v>
                </c:pt>
                <c:pt idx="2">
                  <c:v>2025-2026</c:v>
                </c:pt>
              </c:strCache>
            </c:strRef>
          </c:cat>
          <c:val>
            <c:numRef>
              <c:f>SUMEXPEN!$P$695:$R$695</c:f>
              <c:numCache>
                <c:formatCode>"$"#,##0</c:formatCode>
                <c:ptCount val="3"/>
                <c:pt idx="0">
                  <c:v>0</c:v>
                </c:pt>
                <c:pt idx="1">
                  <c:v>54</c:v>
                </c:pt>
                <c:pt idx="2">
                  <c:v>0</c:v>
                </c:pt>
              </c:numCache>
            </c:numRef>
          </c:val>
          <c:shape val="pyramid"/>
          <c:extLst>
            <c:ext xmlns:c16="http://schemas.microsoft.com/office/drawing/2014/chart" uri="{C3380CC4-5D6E-409C-BE32-E72D297353CC}">
              <c16:uniqueId val="{00000000-03ED-42F9-B639-8C83BB0EB494}"/>
            </c:ext>
          </c:extLst>
        </c:ser>
        <c:dLbls>
          <c:showLegendKey val="0"/>
          <c:showVal val="1"/>
          <c:showCatName val="0"/>
          <c:showSerName val="0"/>
          <c:showPercent val="0"/>
          <c:showBubbleSize val="0"/>
        </c:dLbls>
        <c:gapWidth val="150"/>
        <c:shape val="box"/>
        <c:axId val="128185088"/>
        <c:axId val="128186624"/>
        <c:axId val="0"/>
      </c:bar3DChart>
      <c:catAx>
        <c:axId val="128185088"/>
        <c:scaling>
          <c:orientation val="minMax"/>
        </c:scaling>
        <c:delete val="0"/>
        <c:axPos val="b"/>
        <c:numFmt formatCode="General" sourceLinked="1"/>
        <c:majorTickMark val="none"/>
        <c:minorTickMark val="none"/>
        <c:tickLblPos val="nextTo"/>
        <c:spPr>
          <a:noFill/>
        </c:spPr>
        <c:txPr>
          <a:bodyPr rot="0" anchor="t" anchorCtr="0"/>
          <a:lstStyle/>
          <a:p>
            <a:pPr>
              <a:defRPr sz="900" b="0" baseline="0">
                <a:solidFill>
                  <a:sysClr val="windowText" lastClr="000000"/>
                </a:solidFill>
                <a:latin typeface="Arial" panose="020B0604020202020204" pitchFamily="34" charset="0"/>
                <a:ea typeface="Open Sans" panose="020B0606030504020204" pitchFamily="34" charset="0"/>
                <a:cs typeface="Arial" panose="020B0604020202020204" pitchFamily="34" charset="0"/>
              </a:defRPr>
            </a:pPr>
            <a:endParaRPr lang="en-US"/>
          </a:p>
        </c:txPr>
        <c:crossAx val="128186624"/>
        <c:crosses val="autoZero"/>
        <c:auto val="1"/>
        <c:lblAlgn val="ctr"/>
        <c:lblOffset val="100"/>
        <c:noMultiLvlLbl val="0"/>
      </c:catAx>
      <c:valAx>
        <c:axId val="128186624"/>
        <c:scaling>
          <c:orientation val="minMax"/>
        </c:scaling>
        <c:delete val="0"/>
        <c:axPos val="l"/>
        <c:majorGridlines>
          <c:spPr>
            <a:ln>
              <a:solidFill>
                <a:srgbClr val="53565A"/>
              </a:solidFill>
            </a:ln>
          </c:spPr>
        </c:majorGridlines>
        <c:numFmt formatCode="&quot;$&quot;#,##0" sourceLinked="1"/>
        <c:majorTickMark val="none"/>
        <c:minorTickMark val="none"/>
        <c:tickLblPos val="nextTo"/>
        <c:spPr>
          <a:ln>
            <a:solidFill>
              <a:srgbClr val="53565A"/>
            </a:solidFill>
          </a:ln>
        </c:spPr>
        <c:txPr>
          <a:bodyPr/>
          <a:lstStyle/>
          <a:p>
            <a:pPr>
              <a:defRPr sz="900" baseline="0">
                <a:latin typeface="Arial" panose="020B0604020202020204" pitchFamily="34" charset="0"/>
                <a:ea typeface="Open Sans" panose="020B0606030504020204" pitchFamily="34" charset="0"/>
                <a:cs typeface="Arial" panose="020B0604020202020204" pitchFamily="34" charset="0"/>
              </a:defRPr>
            </a:pPr>
            <a:endParaRPr lang="en-US"/>
          </a:p>
        </c:txPr>
        <c:crossAx val="128185088"/>
        <c:crosses val="autoZero"/>
        <c:crossBetween val="between"/>
      </c:valAx>
      <c:spPr>
        <a:noFill/>
        <a:ln>
          <a:noFill/>
        </a:ln>
      </c:spPr>
    </c:plotArea>
    <c:plotVisOnly val="1"/>
    <c:dispBlanksAs val="gap"/>
    <c:showDLblsOverMax val="0"/>
  </c:chart>
  <c:spPr>
    <a:noFill/>
    <a:ln>
      <a:solidFill>
        <a:srgbClr val="53565A"/>
      </a:solidFill>
    </a:ln>
  </c:spPr>
  <c:printSettings>
    <c:headerFooter/>
    <c:pageMargins b="0.75" l="0.7" r="0.7" t="0.75" header="0.3" footer="0.3"/>
    <c:pageSetup orientation="portrait"/>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34"/>
    </mc:Choice>
    <mc:Fallback>
      <c:style val="34"/>
    </mc:Fallback>
  </mc:AlternateContent>
  <c:clrMapOvr bg1="lt1" tx1="dk1" bg2="lt2" tx2="dk2" accent1="accent1" accent2="accent2" accent3="accent3" accent4="accent4" accent5="accent5" accent6="accent6" hlink="hlink" folHlink="folHlink"/>
  <c:chart>
    <c:title>
      <c:tx>
        <c:rich>
          <a:bodyPr/>
          <a:lstStyle/>
          <a:p>
            <a:pPr>
              <a:defRPr sz="1400" b="0">
                <a:solidFill>
                  <a:srgbClr val="53565A"/>
                </a:solidFill>
                <a:latin typeface="Arial" panose="020B0604020202020204" pitchFamily="34" charset="0"/>
                <a:ea typeface="Open Sans Semibold" panose="020B0706030804020204" pitchFamily="34" charset="0"/>
                <a:cs typeface="Arial" panose="020B0604020202020204" pitchFamily="34" charset="0"/>
              </a:defRPr>
            </a:pPr>
            <a:r>
              <a:rPr lang="en-US">
                <a:latin typeface="Arial" panose="020B0604020202020204" pitchFamily="34" charset="0"/>
                <a:cs typeface="Arial" panose="020B0604020202020204" pitchFamily="34" charset="0"/>
              </a:rPr>
              <a:t>Other Support Services Expenditures (2900)</a:t>
            </a:r>
          </a:p>
        </c:rich>
      </c:tx>
      <c:layout>
        <c:manualLayout>
          <c:xMode val="edge"/>
          <c:yMode val="edge"/>
          <c:x val="0.34079309687107945"/>
          <c:y val="4.3923768154309505E-2"/>
        </c:manualLayout>
      </c:layout>
      <c:overlay val="0"/>
    </c:title>
    <c:autoTitleDeleted val="0"/>
    <c:view3D>
      <c:rotX val="15"/>
      <c:rotY val="20"/>
      <c:depthPercent val="100"/>
      <c:rAngAx val="1"/>
    </c:view3D>
    <c:floor>
      <c:thickness val="0"/>
      <c:spPr>
        <a:gradFill flip="none" rotWithShape="1">
          <a:gsLst>
            <a:gs pos="0">
              <a:srgbClr val="12284C">
                <a:lumMod val="5000"/>
                <a:lumOff val="95000"/>
              </a:srgbClr>
            </a:gs>
            <a:gs pos="74000">
              <a:srgbClr val="12284C">
                <a:lumMod val="45000"/>
                <a:lumOff val="55000"/>
              </a:srgbClr>
            </a:gs>
            <a:gs pos="83000">
              <a:srgbClr val="12284C">
                <a:lumMod val="45000"/>
                <a:lumOff val="55000"/>
              </a:srgbClr>
            </a:gs>
            <a:gs pos="100000">
              <a:srgbClr val="12284C">
                <a:lumMod val="30000"/>
                <a:lumOff val="70000"/>
              </a:srgbClr>
            </a:gs>
          </a:gsLst>
          <a:path path="circle">
            <a:fillToRect l="100000" t="100000"/>
          </a:path>
          <a:tileRect r="-100000" b="-100000"/>
        </a:gradFill>
        <a:ln>
          <a:solidFill>
            <a:srgbClr val="12284C"/>
          </a:solidFill>
        </a:ln>
      </c:spPr>
    </c:floor>
    <c:sideWall>
      <c:thickness val="0"/>
      <c:spPr>
        <a:gradFill flip="none" rotWithShape="1">
          <a:gsLst>
            <a:gs pos="0">
              <a:srgbClr val="12284C">
                <a:lumMod val="5000"/>
                <a:lumOff val="95000"/>
              </a:srgbClr>
            </a:gs>
            <a:gs pos="74000">
              <a:srgbClr val="12284C">
                <a:lumMod val="45000"/>
                <a:lumOff val="55000"/>
              </a:srgbClr>
            </a:gs>
            <a:gs pos="83000">
              <a:srgbClr val="12284C">
                <a:lumMod val="45000"/>
                <a:lumOff val="55000"/>
              </a:srgbClr>
            </a:gs>
            <a:gs pos="100000">
              <a:srgbClr val="12284C">
                <a:lumMod val="30000"/>
                <a:lumOff val="70000"/>
              </a:srgbClr>
            </a:gs>
          </a:gsLst>
          <a:path path="circle">
            <a:fillToRect l="100000" t="100000"/>
          </a:path>
          <a:tileRect r="-100000" b="-100000"/>
        </a:gradFill>
        <a:ln>
          <a:solidFill>
            <a:srgbClr val="12284C"/>
          </a:solidFill>
        </a:ln>
      </c:spPr>
    </c:sideWall>
    <c:backWall>
      <c:thickness val="0"/>
      <c:spPr>
        <a:gradFill flip="none" rotWithShape="1">
          <a:gsLst>
            <a:gs pos="0">
              <a:srgbClr val="12284C">
                <a:lumMod val="5000"/>
                <a:lumOff val="95000"/>
              </a:srgbClr>
            </a:gs>
            <a:gs pos="74000">
              <a:srgbClr val="12284C">
                <a:lumMod val="45000"/>
                <a:lumOff val="55000"/>
              </a:srgbClr>
            </a:gs>
            <a:gs pos="83000">
              <a:srgbClr val="12284C">
                <a:lumMod val="45000"/>
                <a:lumOff val="55000"/>
              </a:srgbClr>
            </a:gs>
            <a:gs pos="100000">
              <a:srgbClr val="12284C">
                <a:lumMod val="30000"/>
                <a:lumOff val="70000"/>
              </a:srgbClr>
            </a:gs>
          </a:gsLst>
          <a:path path="circle">
            <a:fillToRect l="100000" t="100000"/>
          </a:path>
          <a:tileRect r="-100000" b="-100000"/>
        </a:gradFill>
        <a:ln>
          <a:solidFill>
            <a:srgbClr val="12284C"/>
          </a:solidFill>
        </a:ln>
      </c:spPr>
    </c:backWall>
    <c:plotArea>
      <c:layout>
        <c:manualLayout>
          <c:layoutTarget val="inner"/>
          <c:xMode val="edge"/>
          <c:yMode val="edge"/>
          <c:x val="3.0575644109563874E-2"/>
          <c:y val="0.16386807517302321"/>
          <c:w val="0.96942435589043607"/>
          <c:h val="0.72190394631117549"/>
        </c:manualLayout>
      </c:layout>
      <c:bar3DChart>
        <c:barDir val="col"/>
        <c:grouping val="clustered"/>
        <c:varyColors val="0"/>
        <c:ser>
          <c:idx val="0"/>
          <c:order val="0"/>
          <c:tx>
            <c:strRef>
              <c:f>SUMEXPEN!$O$887</c:f>
              <c:strCache>
                <c:ptCount val="1"/>
                <c:pt idx="0">
                  <c:v>Other Support Services Expenditures (2900)</c:v>
                </c:pt>
              </c:strCache>
            </c:strRef>
          </c:tx>
          <c:spPr>
            <a:solidFill>
              <a:srgbClr val="FFA400"/>
            </a:solidFill>
            <a:ln>
              <a:solidFill>
                <a:srgbClr val="D28700"/>
              </a:solidFill>
            </a:ln>
          </c:spPr>
          <c:invertIfNegative val="0"/>
          <c:dPt>
            <c:idx val="1"/>
            <c:invertIfNegative val="0"/>
            <c:bubble3D val="0"/>
            <c:spPr>
              <a:solidFill>
                <a:srgbClr val="00B796"/>
              </a:solidFill>
              <a:ln>
                <a:solidFill>
                  <a:srgbClr val="008269"/>
                </a:solidFill>
              </a:ln>
            </c:spPr>
            <c:extLst>
              <c:ext xmlns:c16="http://schemas.microsoft.com/office/drawing/2014/chart" uri="{C3380CC4-5D6E-409C-BE32-E72D297353CC}">
                <c16:uniqueId val="{00000003-EA90-4AD3-ABE4-5B34F4836766}"/>
              </c:ext>
            </c:extLst>
          </c:dPt>
          <c:dPt>
            <c:idx val="2"/>
            <c:invertIfNegative val="0"/>
            <c:bubble3D val="0"/>
            <c:spPr>
              <a:solidFill>
                <a:srgbClr val="B7312C"/>
              </a:solidFill>
              <a:ln>
                <a:solidFill>
                  <a:srgbClr val="7F241F"/>
                </a:solidFill>
              </a:ln>
            </c:spPr>
            <c:extLst>
              <c:ext xmlns:c16="http://schemas.microsoft.com/office/drawing/2014/chart" uri="{C3380CC4-5D6E-409C-BE32-E72D297353CC}">
                <c16:uniqueId val="{00000004-EA90-4AD3-ABE4-5B34F4836766}"/>
              </c:ext>
            </c:extLst>
          </c:dPt>
          <c:dPt>
            <c:idx val="3"/>
            <c:invertIfNegative val="0"/>
            <c:bubble3D val="0"/>
            <c:spPr>
              <a:solidFill>
                <a:srgbClr val="005587"/>
              </a:solidFill>
              <a:ln>
                <a:solidFill>
                  <a:srgbClr val="12284C"/>
                </a:solidFill>
              </a:ln>
            </c:spPr>
            <c:extLst>
              <c:ext xmlns:c16="http://schemas.microsoft.com/office/drawing/2014/chart" uri="{C3380CC4-5D6E-409C-BE32-E72D297353CC}">
                <c16:uniqueId val="{00000005-D4E3-40AF-8345-71890A74772B}"/>
              </c:ext>
            </c:extLst>
          </c:dPt>
          <c:dPt>
            <c:idx val="4"/>
            <c:invertIfNegative val="0"/>
            <c:bubble3D val="0"/>
            <c:spPr>
              <a:solidFill>
                <a:srgbClr val="53565A"/>
              </a:solidFill>
              <a:ln>
                <a:solidFill>
                  <a:srgbClr val="383A3C"/>
                </a:solidFill>
              </a:ln>
            </c:spPr>
            <c:extLst>
              <c:ext xmlns:c16="http://schemas.microsoft.com/office/drawing/2014/chart" uri="{C3380CC4-5D6E-409C-BE32-E72D297353CC}">
                <c16:uniqueId val="{00000006-D4E3-40AF-8345-71890A74772B}"/>
              </c:ext>
            </c:extLst>
          </c:dPt>
          <c:dLbls>
            <c:dLbl>
              <c:idx val="0"/>
              <c:layout>
                <c:manualLayout>
                  <c:x val="1.0132073464371864E-2"/>
                  <c:y val="-3.8826413992771473E-2"/>
                </c:manualLayout>
              </c:layout>
              <c:spPr>
                <a:noFill/>
                <a:ln>
                  <a:noFill/>
                </a:ln>
                <a:effectLst/>
              </c:spPr>
              <c:txPr>
                <a:bodyPr vertOverflow="clip" horzOverflow="clip" wrap="square" lIns="38100" tIns="19050" rIns="38100" bIns="19050" anchor="ctr" anchorCtr="0">
                  <a:spAutoFit/>
                </a:bodyPr>
                <a:lstStyle/>
                <a:p>
                  <a:pPr algn="l">
                    <a:defRPr sz="900">
                      <a:latin typeface="Arial" panose="020B0604020202020204" pitchFamily="34" charset="0"/>
                      <a:ea typeface="Open Sans Light" panose="020B0306030504020204" pitchFamily="34" charset="0"/>
                      <a:cs typeface="Arial" panose="020B0604020202020204" pitchFamily="34" charset="0"/>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B89A-43E1-B6B0-9C74BAE5742A}"/>
                </c:ext>
              </c:extLst>
            </c:dLbl>
            <c:dLbl>
              <c:idx val="1"/>
              <c:layout>
                <c:manualLayout>
                  <c:x val="1.5129283485714557E-2"/>
                  <c:y val="-4.8005172389448875E-2"/>
                </c:manualLayout>
              </c:layout>
              <c:spPr>
                <a:noFill/>
                <a:ln>
                  <a:noFill/>
                </a:ln>
                <a:effectLst/>
              </c:spPr>
              <c:txPr>
                <a:bodyPr vertOverflow="clip" horzOverflow="clip" wrap="none" lIns="38100" tIns="19050" rIns="38100" bIns="19050" anchor="ctr" anchorCtr="0">
                  <a:spAutoFit/>
                </a:bodyPr>
                <a:lstStyle/>
                <a:p>
                  <a:pPr algn="l">
                    <a:defRPr sz="900">
                      <a:latin typeface="Arial" panose="020B0604020202020204" pitchFamily="34" charset="0"/>
                      <a:ea typeface="Open Sans Light" panose="020B0306030504020204" pitchFamily="34" charset="0"/>
                      <a:cs typeface="Arial" panose="020B0604020202020204" pitchFamily="34" charset="0"/>
                    </a:defRPr>
                  </a:pPr>
                  <a:endParaRPr lang="en-US"/>
                </a:p>
              </c:txP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3-EA90-4AD3-ABE4-5B34F4836766}"/>
                </c:ext>
              </c:extLst>
            </c:dLbl>
            <c:dLbl>
              <c:idx val="2"/>
              <c:layout>
                <c:manualLayout>
                  <c:x val="1.3026819748704328E-2"/>
                  <c:y val="-1.5037589533600872E-2"/>
                </c:manualLayout>
              </c:layout>
              <c:spPr>
                <a:noFill/>
                <a:ln>
                  <a:noFill/>
                </a:ln>
                <a:effectLst/>
              </c:spPr>
              <c:txPr>
                <a:bodyPr vertOverflow="clip" horzOverflow="clip" wrap="square" lIns="38100" tIns="19050" rIns="38100" bIns="19050" anchor="ctr" anchorCtr="0">
                  <a:spAutoFit/>
                </a:bodyPr>
                <a:lstStyle/>
                <a:p>
                  <a:pPr algn="l">
                    <a:defRPr sz="900">
                      <a:latin typeface="Arial" panose="020B0604020202020204" pitchFamily="34" charset="0"/>
                      <a:ea typeface="Open Sans Light" panose="020B0306030504020204" pitchFamily="34" charset="0"/>
                      <a:cs typeface="Arial" panose="020B0604020202020204" pitchFamily="34" charset="0"/>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EA90-4AD3-ABE4-5B34F4836766}"/>
                </c:ext>
              </c:extLst>
            </c:dLbl>
            <c:dLbl>
              <c:idx val="3"/>
              <c:layout>
                <c:manualLayout>
                  <c:x val="1.1579395332181518E-2"/>
                  <c:y val="-2.631578168380152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D4E3-40AF-8345-71890A74772B}"/>
                </c:ext>
              </c:extLst>
            </c:dLbl>
            <c:dLbl>
              <c:idx val="4"/>
              <c:layout>
                <c:manualLayout>
                  <c:x val="1.158161418747738E-2"/>
                  <c:y val="-2.674156309700396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D4E3-40AF-8345-71890A74772B}"/>
                </c:ext>
              </c:extLst>
            </c:dLbl>
            <c:spPr>
              <a:noFill/>
              <a:ln>
                <a:noFill/>
              </a:ln>
              <a:effectLst/>
            </c:spPr>
            <c:txPr>
              <a:bodyPr wrap="square" lIns="38100" tIns="19050" rIns="38100" bIns="19050" anchor="ctr" anchorCtr="0">
                <a:spAutoFit/>
              </a:bodyPr>
              <a:lstStyle/>
              <a:p>
                <a:pPr algn="l">
                  <a:defRPr sz="900">
                    <a:latin typeface="Arial" panose="020B0604020202020204" pitchFamily="34" charset="0"/>
                    <a:ea typeface="Open Sans Light" panose="020B0306030504020204" pitchFamily="34" charset="0"/>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SUMEXPEN!$P$886:$R$886</c:f>
              <c:strCache>
                <c:ptCount val="3"/>
                <c:pt idx="0">
                  <c:v>2023-2024</c:v>
                </c:pt>
                <c:pt idx="1">
                  <c:v>2024-2025</c:v>
                </c:pt>
                <c:pt idx="2">
                  <c:v>2025-2026</c:v>
                </c:pt>
              </c:strCache>
            </c:strRef>
          </c:cat>
          <c:val>
            <c:numRef>
              <c:f>SUMEXPEN!$P$887:$R$887</c:f>
              <c:numCache>
                <c:formatCode>"$"#,##0</c:formatCode>
                <c:ptCount val="3"/>
                <c:pt idx="0">
                  <c:v>7174</c:v>
                </c:pt>
                <c:pt idx="1">
                  <c:v>219</c:v>
                </c:pt>
                <c:pt idx="2">
                  <c:v>0</c:v>
                </c:pt>
              </c:numCache>
            </c:numRef>
          </c:val>
          <c:shape val="pyramid"/>
          <c:extLst>
            <c:ext xmlns:c16="http://schemas.microsoft.com/office/drawing/2014/chart" uri="{C3380CC4-5D6E-409C-BE32-E72D297353CC}">
              <c16:uniqueId val="{00000000-03ED-42F9-B639-8C83BB0EB494}"/>
            </c:ext>
          </c:extLst>
        </c:ser>
        <c:dLbls>
          <c:showLegendKey val="0"/>
          <c:showVal val="1"/>
          <c:showCatName val="0"/>
          <c:showSerName val="0"/>
          <c:showPercent val="0"/>
          <c:showBubbleSize val="0"/>
        </c:dLbls>
        <c:gapWidth val="150"/>
        <c:shape val="box"/>
        <c:axId val="128185088"/>
        <c:axId val="128186624"/>
        <c:axId val="0"/>
      </c:bar3DChart>
      <c:catAx>
        <c:axId val="128185088"/>
        <c:scaling>
          <c:orientation val="minMax"/>
        </c:scaling>
        <c:delete val="0"/>
        <c:axPos val="b"/>
        <c:numFmt formatCode="General" sourceLinked="1"/>
        <c:majorTickMark val="none"/>
        <c:minorTickMark val="none"/>
        <c:tickLblPos val="nextTo"/>
        <c:spPr>
          <a:noFill/>
        </c:spPr>
        <c:txPr>
          <a:bodyPr rot="0" anchor="t" anchorCtr="0"/>
          <a:lstStyle/>
          <a:p>
            <a:pPr>
              <a:defRPr sz="900" b="0" baseline="0">
                <a:solidFill>
                  <a:sysClr val="windowText" lastClr="000000"/>
                </a:solidFill>
                <a:latin typeface="Arial" panose="020B0604020202020204" pitchFamily="34" charset="0"/>
                <a:ea typeface="Open Sans" panose="020B0606030504020204" pitchFamily="34" charset="0"/>
                <a:cs typeface="Arial" panose="020B0604020202020204" pitchFamily="34" charset="0"/>
              </a:defRPr>
            </a:pPr>
            <a:endParaRPr lang="en-US"/>
          </a:p>
        </c:txPr>
        <c:crossAx val="128186624"/>
        <c:crosses val="autoZero"/>
        <c:auto val="1"/>
        <c:lblAlgn val="ctr"/>
        <c:lblOffset val="100"/>
        <c:noMultiLvlLbl val="0"/>
      </c:catAx>
      <c:valAx>
        <c:axId val="128186624"/>
        <c:scaling>
          <c:orientation val="minMax"/>
        </c:scaling>
        <c:delete val="0"/>
        <c:axPos val="l"/>
        <c:majorGridlines>
          <c:spPr>
            <a:ln>
              <a:solidFill>
                <a:srgbClr val="53565A"/>
              </a:solidFill>
            </a:ln>
          </c:spPr>
        </c:majorGridlines>
        <c:numFmt formatCode="&quot;$&quot;#,##0" sourceLinked="1"/>
        <c:majorTickMark val="none"/>
        <c:minorTickMark val="none"/>
        <c:tickLblPos val="nextTo"/>
        <c:spPr>
          <a:ln>
            <a:solidFill>
              <a:srgbClr val="53565A"/>
            </a:solidFill>
          </a:ln>
        </c:spPr>
        <c:txPr>
          <a:bodyPr/>
          <a:lstStyle/>
          <a:p>
            <a:pPr>
              <a:defRPr sz="900" baseline="0">
                <a:latin typeface="Arial" panose="020B0604020202020204" pitchFamily="34" charset="0"/>
                <a:ea typeface="Open Sans" panose="020B0606030504020204" pitchFamily="34" charset="0"/>
                <a:cs typeface="Arial" panose="020B0604020202020204" pitchFamily="34" charset="0"/>
              </a:defRPr>
            </a:pPr>
            <a:endParaRPr lang="en-US"/>
          </a:p>
        </c:txPr>
        <c:crossAx val="128185088"/>
        <c:crosses val="autoZero"/>
        <c:crossBetween val="between"/>
      </c:valAx>
      <c:spPr>
        <a:noFill/>
        <a:ln>
          <a:noFill/>
        </a:ln>
      </c:spPr>
    </c:plotArea>
    <c:plotVisOnly val="1"/>
    <c:dispBlanksAs val="gap"/>
    <c:showDLblsOverMax val="0"/>
  </c:chart>
  <c:spPr>
    <a:noFill/>
    <a:ln>
      <a:solidFill>
        <a:srgbClr val="53565A"/>
      </a:solidFill>
    </a:ln>
  </c:spPr>
  <c:printSettings>
    <c:headerFooter/>
    <c:pageMargins b="0.75" l="0.7" r="0.7" t="0.75" header="0.3" footer="0.3"/>
    <c:pageSetup orientation="portrait"/>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34"/>
    </mc:Choice>
    <mc:Fallback>
      <c:style val="34"/>
    </mc:Fallback>
  </mc:AlternateContent>
  <c:clrMapOvr bg1="lt1" tx1="dk1" bg2="lt2" tx2="dk2" accent1="accent1" accent2="accent2" accent3="accent3" accent4="accent4" accent5="accent5" accent6="accent6" hlink="hlink" folHlink="folHlink"/>
  <c:chart>
    <c:title>
      <c:tx>
        <c:rich>
          <a:bodyPr/>
          <a:lstStyle/>
          <a:p>
            <a:pPr>
              <a:defRPr sz="1400" b="0">
                <a:solidFill>
                  <a:srgbClr val="53565A"/>
                </a:solidFill>
                <a:latin typeface="Open Sans Semibold" panose="020B0706030804020204" pitchFamily="34" charset="0"/>
                <a:ea typeface="Open Sans Semibold" panose="020B0706030804020204" pitchFamily="34" charset="0"/>
                <a:cs typeface="Open Sans Semibold" panose="020B0706030804020204" pitchFamily="34" charset="0"/>
              </a:defRPr>
            </a:pPr>
            <a:r>
              <a:rPr lang="en-US">
                <a:latin typeface="Arial" panose="020B0604020202020204" pitchFamily="34" charset="0"/>
                <a:ea typeface="Open Sans Semibold" panose="020B0706030804020204" pitchFamily="34" charset="0"/>
                <a:cs typeface="Arial" panose="020B0604020202020204" pitchFamily="34" charset="0"/>
              </a:rPr>
              <a:t>Instruction Expenditures (1000)</a:t>
            </a:r>
          </a:p>
        </c:rich>
      </c:tx>
      <c:layout>
        <c:manualLayout>
          <c:xMode val="edge"/>
          <c:yMode val="edge"/>
          <c:x val="0.22479172863603697"/>
          <c:y val="4.3923608089706412E-2"/>
        </c:manualLayout>
      </c:layout>
      <c:overlay val="0"/>
    </c:title>
    <c:autoTitleDeleted val="0"/>
    <c:view3D>
      <c:rotX val="15"/>
      <c:rotY val="20"/>
      <c:depthPercent val="100"/>
      <c:rAngAx val="1"/>
    </c:view3D>
    <c:floor>
      <c:thickness val="0"/>
      <c:spPr>
        <a:gradFill flip="none" rotWithShape="1">
          <a:gsLst>
            <a:gs pos="0">
              <a:srgbClr val="12284C">
                <a:lumMod val="5000"/>
                <a:lumOff val="95000"/>
              </a:srgbClr>
            </a:gs>
            <a:gs pos="74000">
              <a:srgbClr val="12284C">
                <a:lumMod val="45000"/>
                <a:lumOff val="55000"/>
              </a:srgbClr>
            </a:gs>
            <a:gs pos="83000">
              <a:srgbClr val="12284C">
                <a:lumMod val="45000"/>
                <a:lumOff val="55000"/>
              </a:srgbClr>
            </a:gs>
            <a:gs pos="100000">
              <a:srgbClr val="12284C">
                <a:lumMod val="30000"/>
                <a:lumOff val="70000"/>
              </a:srgbClr>
            </a:gs>
          </a:gsLst>
          <a:path path="circle">
            <a:fillToRect l="100000" t="100000"/>
          </a:path>
          <a:tileRect r="-100000" b="-100000"/>
        </a:gradFill>
        <a:ln>
          <a:solidFill>
            <a:srgbClr val="12284C"/>
          </a:solidFill>
        </a:ln>
      </c:spPr>
    </c:floor>
    <c:sideWall>
      <c:thickness val="0"/>
      <c:spPr>
        <a:gradFill flip="none" rotWithShape="1">
          <a:gsLst>
            <a:gs pos="0">
              <a:srgbClr val="12284C">
                <a:lumMod val="5000"/>
                <a:lumOff val="95000"/>
              </a:srgbClr>
            </a:gs>
            <a:gs pos="74000">
              <a:srgbClr val="12284C">
                <a:lumMod val="45000"/>
                <a:lumOff val="55000"/>
              </a:srgbClr>
            </a:gs>
            <a:gs pos="83000">
              <a:srgbClr val="12284C">
                <a:lumMod val="45000"/>
                <a:lumOff val="55000"/>
              </a:srgbClr>
            </a:gs>
            <a:gs pos="100000">
              <a:srgbClr val="12284C">
                <a:lumMod val="30000"/>
                <a:lumOff val="70000"/>
              </a:srgbClr>
            </a:gs>
          </a:gsLst>
          <a:path path="circle">
            <a:fillToRect l="100000" t="100000"/>
          </a:path>
          <a:tileRect r="-100000" b="-100000"/>
        </a:gradFill>
        <a:ln>
          <a:solidFill>
            <a:srgbClr val="12284C"/>
          </a:solidFill>
        </a:ln>
      </c:spPr>
    </c:sideWall>
    <c:backWall>
      <c:thickness val="0"/>
      <c:spPr>
        <a:gradFill flip="none" rotWithShape="1">
          <a:gsLst>
            <a:gs pos="0">
              <a:srgbClr val="12284C">
                <a:lumMod val="5000"/>
                <a:lumOff val="95000"/>
              </a:srgbClr>
            </a:gs>
            <a:gs pos="74000">
              <a:srgbClr val="12284C">
                <a:lumMod val="45000"/>
                <a:lumOff val="55000"/>
              </a:srgbClr>
            </a:gs>
            <a:gs pos="83000">
              <a:srgbClr val="12284C">
                <a:lumMod val="45000"/>
                <a:lumOff val="55000"/>
              </a:srgbClr>
            </a:gs>
            <a:gs pos="100000">
              <a:srgbClr val="12284C">
                <a:lumMod val="30000"/>
                <a:lumOff val="70000"/>
              </a:srgbClr>
            </a:gs>
          </a:gsLst>
          <a:path path="circle">
            <a:fillToRect l="100000" t="100000"/>
          </a:path>
          <a:tileRect r="-100000" b="-100000"/>
        </a:gradFill>
        <a:ln>
          <a:solidFill>
            <a:srgbClr val="12284C"/>
          </a:solidFill>
        </a:ln>
      </c:spPr>
    </c:backWall>
    <c:plotArea>
      <c:layout>
        <c:manualLayout>
          <c:layoutTarget val="inner"/>
          <c:xMode val="edge"/>
          <c:yMode val="edge"/>
          <c:x val="3.0575644109563874E-2"/>
          <c:y val="0.16386807517302321"/>
          <c:w val="0.96942435589043607"/>
          <c:h val="0.72190394631117549"/>
        </c:manualLayout>
      </c:layout>
      <c:bar3DChart>
        <c:barDir val="col"/>
        <c:grouping val="clustered"/>
        <c:varyColors val="0"/>
        <c:ser>
          <c:idx val="0"/>
          <c:order val="0"/>
          <c:tx>
            <c:v>Instruction Expenditures</c:v>
          </c:tx>
          <c:spPr>
            <a:solidFill>
              <a:srgbClr val="FFA400"/>
            </a:solidFill>
            <a:ln>
              <a:solidFill>
                <a:srgbClr val="D28700"/>
              </a:solidFill>
            </a:ln>
          </c:spPr>
          <c:invertIfNegative val="0"/>
          <c:dPt>
            <c:idx val="1"/>
            <c:invertIfNegative val="0"/>
            <c:bubble3D val="0"/>
            <c:spPr>
              <a:solidFill>
                <a:srgbClr val="00B796"/>
              </a:solidFill>
              <a:ln>
                <a:solidFill>
                  <a:srgbClr val="008269"/>
                </a:solidFill>
              </a:ln>
            </c:spPr>
            <c:extLst>
              <c:ext xmlns:c16="http://schemas.microsoft.com/office/drawing/2014/chart" uri="{C3380CC4-5D6E-409C-BE32-E72D297353CC}">
                <c16:uniqueId val="{00000003-EA90-4AD3-ABE4-5B34F4836766}"/>
              </c:ext>
            </c:extLst>
          </c:dPt>
          <c:dPt>
            <c:idx val="2"/>
            <c:invertIfNegative val="0"/>
            <c:bubble3D val="0"/>
            <c:spPr>
              <a:solidFill>
                <a:srgbClr val="B7312C"/>
              </a:solidFill>
              <a:ln>
                <a:solidFill>
                  <a:srgbClr val="7F241F"/>
                </a:solidFill>
              </a:ln>
            </c:spPr>
            <c:extLst>
              <c:ext xmlns:c16="http://schemas.microsoft.com/office/drawing/2014/chart" uri="{C3380CC4-5D6E-409C-BE32-E72D297353CC}">
                <c16:uniqueId val="{00000004-EA90-4AD3-ABE4-5B34F4836766}"/>
              </c:ext>
            </c:extLst>
          </c:dPt>
          <c:dPt>
            <c:idx val="3"/>
            <c:invertIfNegative val="0"/>
            <c:bubble3D val="0"/>
            <c:spPr>
              <a:solidFill>
                <a:srgbClr val="005587"/>
              </a:solidFill>
              <a:ln>
                <a:solidFill>
                  <a:srgbClr val="12284C"/>
                </a:solidFill>
              </a:ln>
            </c:spPr>
            <c:extLst>
              <c:ext xmlns:c16="http://schemas.microsoft.com/office/drawing/2014/chart" uri="{C3380CC4-5D6E-409C-BE32-E72D297353CC}">
                <c16:uniqueId val="{00000005-D4E3-40AF-8345-71890A74772B}"/>
              </c:ext>
            </c:extLst>
          </c:dPt>
          <c:dPt>
            <c:idx val="4"/>
            <c:invertIfNegative val="0"/>
            <c:bubble3D val="0"/>
            <c:spPr>
              <a:solidFill>
                <a:srgbClr val="53565A"/>
              </a:solidFill>
              <a:ln>
                <a:solidFill>
                  <a:srgbClr val="383A3C"/>
                </a:solidFill>
              </a:ln>
            </c:spPr>
            <c:extLst>
              <c:ext xmlns:c16="http://schemas.microsoft.com/office/drawing/2014/chart" uri="{C3380CC4-5D6E-409C-BE32-E72D297353CC}">
                <c16:uniqueId val="{00000006-D4E3-40AF-8345-71890A74772B}"/>
              </c:ext>
            </c:extLst>
          </c:dPt>
          <c:dLbls>
            <c:dLbl>
              <c:idx val="0"/>
              <c:layout>
                <c:manualLayout>
                  <c:x val="1.0132073464371864E-2"/>
                  <c:y val="-3.8826413992771473E-2"/>
                </c:manualLayout>
              </c:layout>
              <c:spPr>
                <a:noFill/>
                <a:ln>
                  <a:noFill/>
                </a:ln>
                <a:effectLst/>
              </c:spPr>
              <c:txPr>
                <a:bodyPr vertOverflow="clip" horzOverflow="clip" wrap="square" lIns="38100" tIns="19050" rIns="38100" bIns="19050" anchor="ctr" anchorCtr="0">
                  <a:spAutoFit/>
                </a:bodyPr>
                <a:lstStyle/>
                <a:p>
                  <a:pPr algn="l">
                    <a:defRPr sz="900">
                      <a:latin typeface="Arial" panose="020B0604020202020204" pitchFamily="34" charset="0"/>
                      <a:ea typeface="Open Sans Light" panose="020B0306030504020204" pitchFamily="34" charset="0"/>
                      <a:cs typeface="Arial" panose="020B0604020202020204" pitchFamily="34" charset="0"/>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B89A-43E1-B6B0-9C74BAE5742A}"/>
                </c:ext>
              </c:extLst>
            </c:dLbl>
            <c:dLbl>
              <c:idx val="1"/>
              <c:layout>
                <c:manualLayout>
                  <c:x val="1.5129283485714557E-2"/>
                  <c:y val="-4.8005172389448875E-2"/>
                </c:manualLayout>
              </c:layout>
              <c:spPr>
                <a:noFill/>
                <a:ln>
                  <a:noFill/>
                </a:ln>
                <a:effectLst/>
              </c:spPr>
              <c:txPr>
                <a:bodyPr vertOverflow="clip" horzOverflow="clip" wrap="none" lIns="38100" tIns="19050" rIns="38100" bIns="19050" anchor="ctr" anchorCtr="0">
                  <a:spAutoFit/>
                </a:bodyPr>
                <a:lstStyle/>
                <a:p>
                  <a:pPr algn="l">
                    <a:defRPr sz="900">
                      <a:latin typeface="Arial" panose="020B0604020202020204" pitchFamily="34" charset="0"/>
                      <a:ea typeface="Open Sans Light" panose="020B0306030504020204" pitchFamily="34" charset="0"/>
                      <a:cs typeface="Arial" panose="020B0604020202020204" pitchFamily="34" charset="0"/>
                    </a:defRPr>
                  </a:pPr>
                  <a:endParaRPr lang="en-US"/>
                </a:p>
              </c:txP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3-EA90-4AD3-ABE4-5B34F4836766}"/>
                </c:ext>
              </c:extLst>
            </c:dLbl>
            <c:dLbl>
              <c:idx val="2"/>
              <c:layout>
                <c:manualLayout>
                  <c:x val="1.3026819748704328E-2"/>
                  <c:y val="-1.5037589533600872E-2"/>
                </c:manualLayout>
              </c:layout>
              <c:spPr>
                <a:noFill/>
                <a:ln>
                  <a:noFill/>
                </a:ln>
                <a:effectLst/>
              </c:spPr>
              <c:txPr>
                <a:bodyPr vertOverflow="clip" horzOverflow="clip" wrap="square" lIns="38100" tIns="19050" rIns="38100" bIns="19050" anchor="ctr" anchorCtr="0">
                  <a:spAutoFit/>
                </a:bodyPr>
                <a:lstStyle/>
                <a:p>
                  <a:pPr algn="l">
                    <a:defRPr sz="900">
                      <a:latin typeface="Arial" panose="020B0604020202020204" pitchFamily="34" charset="0"/>
                      <a:ea typeface="Open Sans Light" panose="020B0306030504020204" pitchFamily="34" charset="0"/>
                      <a:cs typeface="Arial" panose="020B0604020202020204" pitchFamily="34" charset="0"/>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EA90-4AD3-ABE4-5B34F4836766}"/>
                </c:ext>
              </c:extLst>
            </c:dLbl>
            <c:dLbl>
              <c:idx val="3"/>
              <c:layout>
                <c:manualLayout>
                  <c:x val="1.1579395332181518E-2"/>
                  <c:y val="-2.631578168380152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D4E3-40AF-8345-71890A74772B}"/>
                </c:ext>
              </c:extLst>
            </c:dLbl>
            <c:dLbl>
              <c:idx val="4"/>
              <c:layout>
                <c:manualLayout>
                  <c:x val="1.158161418747738E-2"/>
                  <c:y val="-2.674156309700396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D4E3-40AF-8345-71890A74772B}"/>
                </c:ext>
              </c:extLst>
            </c:dLbl>
            <c:spPr>
              <a:noFill/>
              <a:ln>
                <a:noFill/>
              </a:ln>
              <a:effectLst/>
            </c:spPr>
            <c:txPr>
              <a:bodyPr wrap="square" lIns="38100" tIns="19050" rIns="38100" bIns="19050" anchor="ctr" anchorCtr="0">
                <a:spAutoFit/>
              </a:bodyPr>
              <a:lstStyle/>
              <a:p>
                <a:pPr algn="l">
                  <a:defRPr sz="900">
                    <a:latin typeface="Arial" panose="020B0604020202020204" pitchFamily="34" charset="0"/>
                    <a:ea typeface="Open Sans Light" panose="020B0306030504020204" pitchFamily="34" charset="0"/>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SUMEXPEN!$P$369:$R$369</c:f>
              <c:strCache>
                <c:ptCount val="3"/>
                <c:pt idx="0">
                  <c:v>2023-2024</c:v>
                </c:pt>
                <c:pt idx="1">
                  <c:v>2024-2025</c:v>
                </c:pt>
                <c:pt idx="2">
                  <c:v>2025-2026</c:v>
                </c:pt>
              </c:strCache>
            </c:strRef>
          </c:cat>
          <c:val>
            <c:numRef>
              <c:f>SUMEXPEN!$P$370:$R$370</c:f>
              <c:numCache>
                <c:formatCode>"$"#,##0</c:formatCode>
                <c:ptCount val="3"/>
                <c:pt idx="0">
                  <c:v>938685</c:v>
                </c:pt>
                <c:pt idx="1">
                  <c:v>1968697</c:v>
                </c:pt>
                <c:pt idx="2">
                  <c:v>1412804</c:v>
                </c:pt>
              </c:numCache>
            </c:numRef>
          </c:val>
          <c:shape val="pyramid"/>
          <c:extLst>
            <c:ext xmlns:c16="http://schemas.microsoft.com/office/drawing/2014/chart" uri="{C3380CC4-5D6E-409C-BE32-E72D297353CC}">
              <c16:uniqueId val="{00000000-03ED-42F9-B639-8C83BB0EB494}"/>
            </c:ext>
          </c:extLst>
        </c:ser>
        <c:dLbls>
          <c:showLegendKey val="0"/>
          <c:showVal val="1"/>
          <c:showCatName val="0"/>
          <c:showSerName val="0"/>
          <c:showPercent val="0"/>
          <c:showBubbleSize val="0"/>
        </c:dLbls>
        <c:gapWidth val="150"/>
        <c:shape val="box"/>
        <c:axId val="128185088"/>
        <c:axId val="128186624"/>
        <c:axId val="0"/>
      </c:bar3DChart>
      <c:catAx>
        <c:axId val="128185088"/>
        <c:scaling>
          <c:orientation val="minMax"/>
        </c:scaling>
        <c:delete val="0"/>
        <c:axPos val="b"/>
        <c:numFmt formatCode="General" sourceLinked="1"/>
        <c:majorTickMark val="none"/>
        <c:minorTickMark val="none"/>
        <c:tickLblPos val="nextTo"/>
        <c:spPr>
          <a:noFill/>
        </c:spPr>
        <c:txPr>
          <a:bodyPr rot="0" anchor="t" anchorCtr="0"/>
          <a:lstStyle/>
          <a:p>
            <a:pPr>
              <a:defRPr sz="900" b="0" baseline="0">
                <a:solidFill>
                  <a:sysClr val="windowText" lastClr="000000"/>
                </a:solidFill>
                <a:latin typeface="Arial" panose="020B0604020202020204" pitchFamily="34" charset="0"/>
                <a:ea typeface="Open Sans" panose="020B0606030504020204" pitchFamily="34" charset="0"/>
                <a:cs typeface="Arial" panose="020B0604020202020204" pitchFamily="34" charset="0"/>
              </a:defRPr>
            </a:pPr>
            <a:endParaRPr lang="en-US"/>
          </a:p>
        </c:txPr>
        <c:crossAx val="128186624"/>
        <c:crosses val="autoZero"/>
        <c:auto val="1"/>
        <c:lblAlgn val="ctr"/>
        <c:lblOffset val="100"/>
        <c:noMultiLvlLbl val="0"/>
      </c:catAx>
      <c:valAx>
        <c:axId val="128186624"/>
        <c:scaling>
          <c:orientation val="minMax"/>
        </c:scaling>
        <c:delete val="0"/>
        <c:axPos val="l"/>
        <c:majorGridlines>
          <c:spPr>
            <a:ln>
              <a:solidFill>
                <a:srgbClr val="53565A"/>
              </a:solidFill>
            </a:ln>
          </c:spPr>
        </c:majorGridlines>
        <c:numFmt formatCode="&quot;$&quot;#,##0" sourceLinked="1"/>
        <c:majorTickMark val="none"/>
        <c:minorTickMark val="none"/>
        <c:tickLblPos val="nextTo"/>
        <c:spPr>
          <a:ln>
            <a:solidFill>
              <a:srgbClr val="53565A"/>
            </a:solidFill>
          </a:ln>
        </c:spPr>
        <c:txPr>
          <a:bodyPr/>
          <a:lstStyle/>
          <a:p>
            <a:pPr>
              <a:defRPr sz="900" baseline="0">
                <a:latin typeface="Arial" panose="020B0604020202020204" pitchFamily="34" charset="0"/>
                <a:ea typeface="Open Sans" panose="020B0606030504020204" pitchFamily="34" charset="0"/>
                <a:cs typeface="Arial" panose="020B0604020202020204" pitchFamily="34" charset="0"/>
              </a:defRPr>
            </a:pPr>
            <a:endParaRPr lang="en-US"/>
          </a:p>
        </c:txPr>
        <c:crossAx val="128185088"/>
        <c:crosses val="autoZero"/>
        <c:crossBetween val="between"/>
      </c:valAx>
      <c:spPr>
        <a:noFill/>
        <a:ln>
          <a:noFill/>
        </a:ln>
      </c:spPr>
    </c:plotArea>
    <c:plotVisOnly val="1"/>
    <c:dispBlanksAs val="gap"/>
    <c:showDLblsOverMax val="0"/>
  </c:chart>
  <c:spPr>
    <a:noFill/>
    <a:ln>
      <a:solidFill>
        <a:srgbClr val="53565A"/>
      </a:solidFill>
    </a:ln>
  </c:spPr>
  <c:printSettings>
    <c:headerFooter/>
    <c:pageMargins b="0.75" l="0.7" r="0.7" t="0.75" header="0.3" footer="0.3"/>
    <c:pageSetup orientation="portrait"/>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34"/>
    </mc:Choice>
    <mc:Fallback>
      <c:style val="34"/>
    </mc:Fallback>
  </mc:AlternateContent>
  <c:clrMapOvr bg1="lt1" tx1="dk1" bg2="lt2" tx2="dk2" accent1="accent1" accent2="accent2" accent3="accent3" accent4="accent4" accent5="accent5" accent6="accent6" hlink="hlink" folHlink="folHlink"/>
  <c:chart>
    <c:title>
      <c:tx>
        <c:rich>
          <a:bodyPr/>
          <a:lstStyle/>
          <a:p>
            <a:pPr>
              <a:defRPr sz="1400" b="0">
                <a:solidFill>
                  <a:srgbClr val="53565A"/>
                </a:solidFill>
                <a:latin typeface="Open Sans Semibold" panose="020B0706030804020204" pitchFamily="34" charset="0"/>
                <a:ea typeface="Open Sans Semibold" panose="020B0706030804020204" pitchFamily="34" charset="0"/>
                <a:cs typeface="Open Sans Semibold" panose="020B0706030804020204" pitchFamily="34" charset="0"/>
              </a:defRPr>
            </a:pPr>
            <a:r>
              <a:rPr lang="en-US" sz="1400" b="0">
                <a:solidFill>
                  <a:srgbClr val="53565A"/>
                </a:solidFill>
                <a:latin typeface="Arial" panose="020B0604020202020204" pitchFamily="34" charset="0"/>
                <a:ea typeface="Open Sans Semibold" panose="020B0706030804020204" pitchFamily="34" charset="0"/>
                <a:cs typeface="Arial" panose="020B0604020202020204" pitchFamily="34" charset="0"/>
              </a:rPr>
              <a:t>Instruction Expenditures by Fund</a:t>
            </a:r>
          </a:p>
        </c:rich>
      </c:tx>
      <c:layout>
        <c:manualLayout>
          <c:xMode val="edge"/>
          <c:yMode val="edge"/>
          <c:x val="0.22715798745724425"/>
          <c:y val="4.068033122001391E-2"/>
        </c:manualLayout>
      </c:layout>
      <c:overlay val="0"/>
    </c:title>
    <c:autoTitleDeleted val="0"/>
    <c:view3D>
      <c:rotX val="15"/>
      <c:rotY val="20"/>
      <c:depthPercent val="100"/>
      <c:rAngAx val="1"/>
    </c:view3D>
    <c:floor>
      <c:thickness val="0"/>
      <c:spPr>
        <a:gradFill flip="none" rotWithShape="1">
          <a:gsLst>
            <a:gs pos="0">
              <a:srgbClr val="12284C">
                <a:lumMod val="5000"/>
                <a:lumOff val="95000"/>
              </a:srgbClr>
            </a:gs>
            <a:gs pos="74000">
              <a:srgbClr val="12284C">
                <a:lumMod val="45000"/>
                <a:lumOff val="55000"/>
              </a:srgbClr>
            </a:gs>
            <a:gs pos="83000">
              <a:srgbClr val="12284C">
                <a:lumMod val="45000"/>
                <a:lumOff val="55000"/>
              </a:srgbClr>
            </a:gs>
            <a:gs pos="100000">
              <a:srgbClr val="12284C">
                <a:lumMod val="30000"/>
                <a:lumOff val="70000"/>
              </a:srgbClr>
            </a:gs>
          </a:gsLst>
          <a:path path="circle">
            <a:fillToRect l="100000" t="100000"/>
          </a:path>
          <a:tileRect r="-100000" b="-100000"/>
        </a:gradFill>
        <a:ln>
          <a:solidFill>
            <a:srgbClr val="12284C"/>
          </a:solidFill>
        </a:ln>
      </c:spPr>
    </c:floor>
    <c:sideWall>
      <c:thickness val="0"/>
      <c:spPr>
        <a:gradFill flip="none" rotWithShape="1">
          <a:gsLst>
            <a:gs pos="0">
              <a:srgbClr val="12284C">
                <a:lumMod val="5000"/>
                <a:lumOff val="95000"/>
              </a:srgbClr>
            </a:gs>
            <a:gs pos="74000">
              <a:srgbClr val="12284C">
                <a:lumMod val="45000"/>
                <a:lumOff val="55000"/>
              </a:srgbClr>
            </a:gs>
            <a:gs pos="83000">
              <a:srgbClr val="12284C">
                <a:lumMod val="45000"/>
                <a:lumOff val="55000"/>
              </a:srgbClr>
            </a:gs>
            <a:gs pos="100000">
              <a:srgbClr val="12284C">
                <a:lumMod val="30000"/>
                <a:lumOff val="70000"/>
              </a:srgbClr>
            </a:gs>
          </a:gsLst>
          <a:path path="circle">
            <a:fillToRect l="100000" t="100000"/>
          </a:path>
          <a:tileRect r="-100000" b="-100000"/>
        </a:gradFill>
        <a:ln>
          <a:solidFill>
            <a:srgbClr val="12284C"/>
          </a:solidFill>
        </a:ln>
      </c:spPr>
    </c:sideWall>
    <c:backWall>
      <c:thickness val="0"/>
      <c:spPr>
        <a:gradFill flip="none" rotWithShape="1">
          <a:gsLst>
            <a:gs pos="0">
              <a:srgbClr val="12284C">
                <a:lumMod val="5000"/>
                <a:lumOff val="95000"/>
              </a:srgbClr>
            </a:gs>
            <a:gs pos="74000">
              <a:srgbClr val="12284C">
                <a:lumMod val="45000"/>
                <a:lumOff val="55000"/>
              </a:srgbClr>
            </a:gs>
            <a:gs pos="83000">
              <a:srgbClr val="12284C">
                <a:lumMod val="45000"/>
                <a:lumOff val="55000"/>
              </a:srgbClr>
            </a:gs>
            <a:gs pos="100000">
              <a:srgbClr val="12284C">
                <a:lumMod val="30000"/>
                <a:lumOff val="70000"/>
              </a:srgbClr>
            </a:gs>
          </a:gsLst>
          <a:path path="circle">
            <a:fillToRect l="100000" t="100000"/>
          </a:path>
          <a:tileRect r="-100000" b="-100000"/>
        </a:gradFill>
        <a:ln>
          <a:solidFill>
            <a:srgbClr val="12284C"/>
          </a:solidFill>
        </a:ln>
      </c:spPr>
    </c:backWall>
    <c:plotArea>
      <c:layout>
        <c:manualLayout>
          <c:layoutTarget val="inner"/>
          <c:xMode val="edge"/>
          <c:yMode val="edge"/>
          <c:x val="0.15229489299513693"/>
          <c:y val="0.1647908675713988"/>
          <c:w val="0.91625168791540257"/>
          <c:h val="0.67603149606299218"/>
        </c:manualLayout>
      </c:layout>
      <c:bar3DChart>
        <c:barDir val="col"/>
        <c:grouping val="clustered"/>
        <c:varyColors val="0"/>
        <c:ser>
          <c:idx val="0"/>
          <c:order val="0"/>
          <c:tx>
            <c:v>General</c:v>
          </c:tx>
          <c:spPr>
            <a:solidFill>
              <a:srgbClr val="FFA400"/>
            </a:solidFill>
            <a:ln>
              <a:solidFill>
                <a:srgbClr val="D28700"/>
              </a:solidFill>
            </a:ln>
          </c:spPr>
          <c:invertIfNegative val="0"/>
          <c:dLbls>
            <c:dLbl>
              <c:idx val="0"/>
              <c:layout>
                <c:manualLayout>
                  <c:x val="-2.5799451776797378E-3"/>
                  <c:y val="0.24485890724561418"/>
                </c:manualLayout>
              </c:layout>
              <c:spPr>
                <a:noFill/>
                <a:ln>
                  <a:noFill/>
                </a:ln>
                <a:effectLst/>
              </c:spPr>
              <c:txPr>
                <a:bodyPr rot="-5400000" vertOverflow="clip" horzOverflow="clip" vert="horz" wrap="square" lIns="38100" tIns="19050" rIns="38100" bIns="19050" anchor="b" anchorCtr="0">
                  <a:spAutoFit/>
                </a:bodyPr>
                <a:lstStyle/>
                <a:p>
                  <a:pPr algn="ctr">
                    <a:defRPr sz="900">
                      <a:latin typeface="Arial" panose="020B0604020202020204" pitchFamily="34" charset="0"/>
                      <a:ea typeface="Open Sans Light" panose="020B0306030504020204" pitchFamily="34" charset="0"/>
                      <a:cs typeface="Arial" panose="020B0604020202020204" pitchFamily="34" charset="0"/>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35F-47A1-A3B6-A12EFF7E6A84}"/>
                </c:ext>
              </c:extLst>
            </c:dLbl>
            <c:dLbl>
              <c:idx val="1"/>
              <c:layout>
                <c:manualLayout>
                  <c:x val="-9.4048895617797154E-17"/>
                  <c:y val="0.2272971612095479"/>
                </c:manualLayout>
              </c:layout>
              <c:spPr>
                <a:noFill/>
                <a:ln>
                  <a:noFill/>
                </a:ln>
                <a:effectLst/>
              </c:spPr>
              <c:txPr>
                <a:bodyPr rot="-5400000" vertOverflow="clip" horzOverflow="clip" vert="horz" wrap="square" lIns="38100" tIns="19050" rIns="38100" bIns="19050" anchor="b" anchorCtr="0">
                  <a:spAutoFit/>
                </a:bodyPr>
                <a:lstStyle/>
                <a:p>
                  <a:pPr algn="ctr">
                    <a:defRPr sz="900">
                      <a:latin typeface="Arial" panose="020B0604020202020204" pitchFamily="34" charset="0"/>
                      <a:ea typeface="Open Sans Light" panose="020B0306030504020204" pitchFamily="34" charset="0"/>
                      <a:cs typeface="Arial" panose="020B0604020202020204" pitchFamily="34" charset="0"/>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35F-47A1-A3B6-A12EFF7E6A84}"/>
                </c:ext>
              </c:extLst>
            </c:dLbl>
            <c:dLbl>
              <c:idx val="2"/>
              <c:layout>
                <c:manualLayout>
                  <c:x val="0"/>
                  <c:y val="0.25483503981797495"/>
                </c:manualLayout>
              </c:layout>
              <c:spPr>
                <a:noFill/>
                <a:ln>
                  <a:noFill/>
                </a:ln>
                <a:effectLst/>
              </c:spPr>
              <c:txPr>
                <a:bodyPr rot="-5400000" vertOverflow="clip" horzOverflow="clip" vert="horz" wrap="square" lIns="38100" tIns="19050" rIns="38100" bIns="19050" anchor="b" anchorCtr="0">
                  <a:spAutoFit/>
                </a:bodyPr>
                <a:lstStyle/>
                <a:p>
                  <a:pPr algn="ctr">
                    <a:defRPr sz="900">
                      <a:latin typeface="Arial" panose="020B0604020202020204" pitchFamily="34" charset="0"/>
                      <a:ea typeface="Open Sans Light" panose="020B0306030504020204" pitchFamily="34" charset="0"/>
                      <a:cs typeface="Arial" panose="020B0604020202020204" pitchFamily="34" charset="0"/>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35F-47A1-A3B6-A12EFF7E6A84}"/>
                </c:ext>
              </c:extLst>
            </c:dLbl>
            <c:spPr>
              <a:noFill/>
              <a:ln>
                <a:noFill/>
              </a:ln>
              <a:effectLst/>
            </c:spPr>
            <c:txPr>
              <a:bodyPr rot="0" vertOverflow="clip" horzOverflow="clip" vert="horz" wrap="square" lIns="38100" tIns="19050" rIns="38100" bIns="19050" anchor="b" anchorCtr="0">
                <a:spAutoFit/>
              </a:bodyPr>
              <a:lstStyle/>
              <a:p>
                <a:pPr algn="ctr">
                  <a:defRPr sz="900">
                    <a:latin typeface="Arial" panose="020B0604020202020204" pitchFamily="34" charset="0"/>
                    <a:ea typeface="Open Sans Light" panose="020B0306030504020204" pitchFamily="34" charset="0"/>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SUMEXPEN!$P$374:$R$374</c:f>
              <c:strCache>
                <c:ptCount val="3"/>
                <c:pt idx="0">
                  <c:v>2023-2024</c:v>
                </c:pt>
                <c:pt idx="1">
                  <c:v>2024-2025</c:v>
                </c:pt>
                <c:pt idx="2">
                  <c:v>2025-2026</c:v>
                </c:pt>
              </c:strCache>
            </c:strRef>
          </c:cat>
          <c:val>
            <c:numRef>
              <c:f>SUMEXPEN!$P$375:$R$375</c:f>
              <c:numCache>
                <c:formatCode>"$"#,##0</c:formatCode>
                <c:ptCount val="3"/>
                <c:pt idx="0">
                  <c:v>450094</c:v>
                </c:pt>
                <c:pt idx="1">
                  <c:v>509814</c:v>
                </c:pt>
                <c:pt idx="2">
                  <c:v>574723</c:v>
                </c:pt>
              </c:numCache>
            </c:numRef>
          </c:val>
          <c:extLst>
            <c:ext xmlns:c16="http://schemas.microsoft.com/office/drawing/2014/chart" uri="{C3380CC4-5D6E-409C-BE32-E72D297353CC}">
              <c16:uniqueId val="{00000003-135F-47A1-A3B6-A12EFF7E6A84}"/>
            </c:ext>
          </c:extLst>
        </c:ser>
        <c:ser>
          <c:idx val="1"/>
          <c:order val="1"/>
          <c:tx>
            <c:v>Supplemental General</c:v>
          </c:tx>
          <c:spPr>
            <a:solidFill>
              <a:srgbClr val="D50032"/>
            </a:solidFill>
            <a:ln>
              <a:solidFill>
                <a:srgbClr val="B7312C"/>
              </a:solidFill>
            </a:ln>
          </c:spPr>
          <c:invertIfNegative val="0"/>
          <c:dLbls>
            <c:dLbl>
              <c:idx val="0"/>
              <c:layout>
                <c:manualLayout>
                  <c:x val="1.1342347051300798E-2"/>
                  <c:y val="-3.938870895064253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135F-47A1-A3B6-A12EFF7E6A84}"/>
                </c:ext>
              </c:extLst>
            </c:dLbl>
            <c:dLbl>
              <c:idx val="1"/>
              <c:layout>
                <c:manualLayout>
                  <c:x val="5.7035854155438907E-3"/>
                  <c:y val="2.2683376447509285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135F-47A1-A3B6-A12EFF7E6A84}"/>
                </c:ext>
              </c:extLst>
            </c:dLbl>
            <c:dLbl>
              <c:idx val="2"/>
              <c:layout>
                <c:manualLayout>
                  <c:x val="6.3920297284434484E-3"/>
                  <c:y val="-1.47931209081756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135F-47A1-A3B6-A12EFF7E6A84}"/>
                </c:ext>
              </c:extLst>
            </c:dLbl>
            <c:spPr>
              <a:noFill/>
              <a:ln>
                <a:noFill/>
              </a:ln>
              <a:effectLst/>
            </c:spPr>
            <c:txPr>
              <a:bodyPr rot="-5400000" vertOverflow="clip" horzOverflow="clip" vert="horz" wrap="square" lIns="38100" tIns="19050" rIns="38100" bIns="19050" anchor="ctr" anchorCtr="0">
                <a:spAutoFit/>
              </a:bodyPr>
              <a:lstStyle/>
              <a:p>
                <a:pPr algn="l">
                  <a:defRPr sz="900">
                    <a:latin typeface="Arial" panose="020B0604020202020204" pitchFamily="34" charset="0"/>
                    <a:ea typeface="Open Sans Light" panose="020B0306030504020204" pitchFamily="34" charset="0"/>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SUMEXPEN!$P$374:$R$374</c:f>
              <c:strCache>
                <c:ptCount val="3"/>
                <c:pt idx="0">
                  <c:v>2023-2024</c:v>
                </c:pt>
                <c:pt idx="1">
                  <c:v>2024-2025</c:v>
                </c:pt>
                <c:pt idx="2">
                  <c:v>2025-2026</c:v>
                </c:pt>
              </c:strCache>
            </c:strRef>
          </c:cat>
          <c:val>
            <c:numRef>
              <c:f>SUMEXPEN!$P$376:$R$376</c:f>
              <c:numCache>
                <c:formatCode>"$"#,##0</c:formatCode>
                <c:ptCount val="3"/>
                <c:pt idx="0">
                  <c:v>66546</c:v>
                </c:pt>
                <c:pt idx="1">
                  <c:v>0</c:v>
                </c:pt>
                <c:pt idx="2">
                  <c:v>13883</c:v>
                </c:pt>
              </c:numCache>
            </c:numRef>
          </c:val>
          <c:extLst>
            <c:ext xmlns:c16="http://schemas.microsoft.com/office/drawing/2014/chart" uri="{C3380CC4-5D6E-409C-BE32-E72D297353CC}">
              <c16:uniqueId val="{00000007-135F-47A1-A3B6-A12EFF7E6A84}"/>
            </c:ext>
          </c:extLst>
        </c:ser>
        <c:ser>
          <c:idx val="2"/>
          <c:order val="2"/>
          <c:tx>
            <c:v>Special Education</c:v>
          </c:tx>
          <c:spPr>
            <a:solidFill>
              <a:srgbClr val="00B796"/>
            </a:solidFill>
            <a:ln>
              <a:solidFill>
                <a:srgbClr val="008269"/>
              </a:solidFill>
            </a:ln>
          </c:spPr>
          <c:invertIfNegative val="0"/>
          <c:dLbls>
            <c:dLbl>
              <c:idx val="0"/>
              <c:layout>
                <c:manualLayout>
                  <c:x val="8.1566984457314296E-3"/>
                  <c:y val="-1.9851044397872237E-2"/>
                </c:manualLayout>
              </c:layout>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8-135F-47A1-A3B6-A12EFF7E6A84}"/>
                </c:ext>
              </c:extLst>
            </c:dLbl>
            <c:dLbl>
              <c:idx val="1"/>
              <c:layout>
                <c:manualLayout>
                  <c:x val="-1.6325730533389403E-3"/>
                  <c:y val="0.23571994764566387"/>
                </c:manualLayout>
              </c:layout>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9-135F-47A1-A3B6-A12EFF7E6A84}"/>
                </c:ext>
              </c:extLst>
            </c:dLbl>
            <c:dLbl>
              <c:idx val="2"/>
              <c:layout>
                <c:manualLayout>
                  <c:x val="-7.1434372434156005E-5"/>
                  <c:y val="0.23571994764566387"/>
                </c:manualLayout>
              </c:layout>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A-135F-47A1-A3B6-A12EFF7E6A84}"/>
                </c:ext>
              </c:extLst>
            </c:dLbl>
            <c:dLbl>
              <c:idx val="3"/>
              <c:layout>
                <c:manualLayout>
                  <c:x val="-1.1111109490943499E-2"/>
                  <c:y val="-1.6842105263157894E-2"/>
                </c:manualLayout>
              </c:layout>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B-135F-47A1-A3B6-A12EFF7E6A84}"/>
                </c:ext>
              </c:extLst>
            </c:dLbl>
            <c:dLbl>
              <c:idx val="4"/>
              <c:layout>
                <c:manualLayout>
                  <c:x val="-9.2592579091195816E-3"/>
                  <c:y val="-1.1228070175438596E-2"/>
                </c:manualLayout>
              </c:layout>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C-135F-47A1-A3B6-A12EFF7E6A84}"/>
                </c:ext>
              </c:extLst>
            </c:dLbl>
            <c:dLbl>
              <c:idx val="5"/>
              <c:layout>
                <c:manualLayout>
                  <c:x val="-1.1111109490943499E-2"/>
                  <c:y val="-8.4210526315789472E-3"/>
                </c:manualLayout>
              </c:layout>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D-135F-47A1-A3B6-A12EFF7E6A84}"/>
                </c:ext>
              </c:extLst>
            </c:dLbl>
            <c:dLbl>
              <c:idx val="6"/>
              <c:layout>
                <c:manualLayout>
                  <c:x val="-9.2592579091196493E-3"/>
                  <c:y val="-8.4210526315789472E-3"/>
                </c:manualLayout>
              </c:layout>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E-135F-47A1-A3B6-A12EFF7E6A84}"/>
                </c:ext>
              </c:extLst>
            </c:dLbl>
            <c:dLbl>
              <c:idx val="7"/>
              <c:layout>
                <c:manualLayout>
                  <c:x val="-3.7037031636478327E-3"/>
                  <c:y val="-1.9649122807017545E-2"/>
                </c:manualLayout>
              </c:layout>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F-135F-47A1-A3B6-A12EFF7E6A84}"/>
                </c:ext>
              </c:extLst>
            </c:dLbl>
            <c:dLbl>
              <c:idx val="8"/>
              <c:layout>
                <c:manualLayout>
                  <c:x val="-7.4074063272958008E-3"/>
                  <c:y val="-8.4210526315789472E-3"/>
                </c:manualLayout>
              </c:layout>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0-135F-47A1-A3B6-A12EFF7E6A84}"/>
                </c:ext>
              </c:extLst>
            </c:dLbl>
            <c:spPr>
              <a:noFill/>
              <a:ln>
                <a:noFill/>
              </a:ln>
              <a:effectLst/>
            </c:spPr>
            <c:txPr>
              <a:bodyPr rot="-5400000" vertOverflow="clip" horzOverflow="clip" vert="horz" wrap="square" lIns="0" tIns="0" rIns="0" bIns="0" numCol="1" anchor="ctr" anchorCtr="0">
                <a:spAutoFit/>
              </a:bodyPr>
              <a:lstStyle/>
              <a:p>
                <a:pPr algn="l">
                  <a:defRPr sz="900" b="0">
                    <a:solidFill>
                      <a:schemeClr val="tx1"/>
                    </a:solidFill>
                    <a:latin typeface="Arial" panose="020B0604020202020204" pitchFamily="34" charset="0"/>
                    <a:ea typeface="Open Sans Light" panose="020B0306030504020204" pitchFamily="34" charset="0"/>
                    <a:cs typeface="Arial" panose="020B0604020202020204" pitchFamily="34" charset="0"/>
                  </a:defRPr>
                </a:pPr>
                <a:endParaRPr lang="en-US"/>
              </a:p>
            </c:txPr>
            <c:showLegendKey val="0"/>
            <c:showVal val="1"/>
            <c:showCatName val="0"/>
            <c:showSerName val="0"/>
            <c:showPercent val="0"/>
            <c:showBubbleSize val="0"/>
            <c:separator> </c:separator>
            <c:showLeaderLines val="0"/>
            <c:extLst>
              <c:ext xmlns:c15="http://schemas.microsoft.com/office/drawing/2012/chart" uri="{CE6537A1-D6FC-4f65-9D91-7224C49458BB}">
                <c15:spPr xmlns:c15="http://schemas.microsoft.com/office/drawing/2012/chart">
                  <a:prstGeom prst="rect">
                    <a:avLst/>
                  </a:prstGeom>
                </c15:spPr>
                <c15:showLeaderLines val="0"/>
              </c:ext>
            </c:extLst>
          </c:dLbls>
          <c:cat>
            <c:strRef>
              <c:f>SUMEXPEN!$P$374:$R$374</c:f>
              <c:strCache>
                <c:ptCount val="3"/>
                <c:pt idx="0">
                  <c:v>2023-2024</c:v>
                </c:pt>
                <c:pt idx="1">
                  <c:v>2024-2025</c:v>
                </c:pt>
                <c:pt idx="2">
                  <c:v>2025-2026</c:v>
                </c:pt>
              </c:strCache>
            </c:strRef>
          </c:cat>
          <c:val>
            <c:numRef>
              <c:f>SUMEXPEN!$P$377:$R$377</c:f>
              <c:numCache>
                <c:formatCode>"$"#,##0</c:formatCode>
                <c:ptCount val="3"/>
                <c:pt idx="0">
                  <c:v>157021</c:v>
                </c:pt>
                <c:pt idx="1">
                  <c:v>96625</c:v>
                </c:pt>
                <c:pt idx="2">
                  <c:v>275168</c:v>
                </c:pt>
              </c:numCache>
            </c:numRef>
          </c:val>
          <c:extLst>
            <c:ext xmlns:c16="http://schemas.microsoft.com/office/drawing/2014/chart" uri="{C3380CC4-5D6E-409C-BE32-E72D297353CC}">
              <c16:uniqueId val="{00000011-135F-47A1-A3B6-A12EFF7E6A84}"/>
            </c:ext>
          </c:extLst>
        </c:ser>
        <c:dLbls>
          <c:showLegendKey val="0"/>
          <c:showVal val="1"/>
          <c:showCatName val="0"/>
          <c:showSerName val="0"/>
          <c:showPercent val="0"/>
          <c:showBubbleSize val="0"/>
        </c:dLbls>
        <c:gapWidth val="150"/>
        <c:shape val="box"/>
        <c:axId val="128185088"/>
        <c:axId val="128186624"/>
        <c:axId val="0"/>
      </c:bar3DChart>
      <c:catAx>
        <c:axId val="128185088"/>
        <c:scaling>
          <c:orientation val="minMax"/>
        </c:scaling>
        <c:delete val="0"/>
        <c:axPos val="b"/>
        <c:numFmt formatCode="General" sourceLinked="1"/>
        <c:majorTickMark val="none"/>
        <c:minorTickMark val="none"/>
        <c:tickLblPos val="nextTo"/>
        <c:spPr>
          <a:noFill/>
        </c:spPr>
        <c:txPr>
          <a:bodyPr rot="0" anchor="t" anchorCtr="0"/>
          <a:lstStyle/>
          <a:p>
            <a:pPr>
              <a:defRPr sz="900" b="0" baseline="0">
                <a:solidFill>
                  <a:sysClr val="windowText" lastClr="000000"/>
                </a:solidFill>
                <a:latin typeface="Arial" panose="020B0604020202020204" pitchFamily="34" charset="0"/>
                <a:ea typeface="Open Sans" panose="020B0606030504020204" pitchFamily="34" charset="0"/>
                <a:cs typeface="Arial" panose="020B0604020202020204" pitchFamily="34" charset="0"/>
              </a:defRPr>
            </a:pPr>
            <a:endParaRPr lang="en-US"/>
          </a:p>
        </c:txPr>
        <c:crossAx val="128186624"/>
        <c:crosses val="autoZero"/>
        <c:auto val="1"/>
        <c:lblAlgn val="ctr"/>
        <c:lblOffset val="100"/>
        <c:noMultiLvlLbl val="0"/>
      </c:catAx>
      <c:valAx>
        <c:axId val="128186624"/>
        <c:scaling>
          <c:orientation val="minMax"/>
        </c:scaling>
        <c:delete val="0"/>
        <c:axPos val="l"/>
        <c:majorGridlines>
          <c:spPr>
            <a:ln>
              <a:solidFill>
                <a:srgbClr val="53565A"/>
              </a:solidFill>
            </a:ln>
          </c:spPr>
        </c:majorGridlines>
        <c:numFmt formatCode="&quot;$&quot;#,##0" sourceLinked="1"/>
        <c:majorTickMark val="none"/>
        <c:minorTickMark val="none"/>
        <c:tickLblPos val="nextTo"/>
        <c:spPr>
          <a:ln>
            <a:solidFill>
              <a:srgbClr val="53565A"/>
            </a:solidFill>
          </a:ln>
        </c:spPr>
        <c:txPr>
          <a:bodyPr/>
          <a:lstStyle/>
          <a:p>
            <a:pPr>
              <a:defRPr sz="900" baseline="0">
                <a:latin typeface="Arial" panose="020B0604020202020204" pitchFamily="34" charset="0"/>
                <a:ea typeface="Open Sans" panose="020B0606030504020204" pitchFamily="34" charset="0"/>
                <a:cs typeface="Arial" panose="020B0604020202020204" pitchFamily="34" charset="0"/>
              </a:defRPr>
            </a:pPr>
            <a:endParaRPr lang="en-US"/>
          </a:p>
        </c:txPr>
        <c:crossAx val="128185088"/>
        <c:crosses val="autoZero"/>
        <c:crossBetween val="between"/>
      </c:valAx>
      <c:spPr>
        <a:noFill/>
        <a:ln>
          <a:noFill/>
        </a:ln>
      </c:spPr>
    </c:plotArea>
    <c:legend>
      <c:legendPos val="b"/>
      <c:layout>
        <c:manualLayout>
          <c:xMode val="edge"/>
          <c:yMode val="edge"/>
          <c:x val="0.13670093957459978"/>
          <c:y val="0.91133697025073235"/>
          <c:w val="0.82689412059488099"/>
          <c:h val="8.8663029749267694E-2"/>
        </c:manualLayout>
      </c:layout>
      <c:overlay val="0"/>
      <c:txPr>
        <a:bodyPr/>
        <a:lstStyle/>
        <a:p>
          <a:pPr>
            <a:defRPr sz="900" b="0">
              <a:solidFill>
                <a:sysClr val="windowText" lastClr="000000"/>
              </a:solidFill>
              <a:latin typeface="Arial" panose="020B0604020202020204" pitchFamily="34" charset="0"/>
              <a:ea typeface="Open Sans" panose="020B0606030504020204" pitchFamily="34" charset="0"/>
              <a:cs typeface="Arial" panose="020B0604020202020204" pitchFamily="34" charset="0"/>
            </a:defRPr>
          </a:pPr>
          <a:endParaRPr lang="en-US"/>
        </a:p>
      </c:txPr>
    </c:legend>
    <c:plotVisOnly val="1"/>
    <c:dispBlanksAs val="gap"/>
    <c:showDLblsOverMax val="0"/>
  </c:chart>
  <c:spPr>
    <a:noFill/>
    <a:ln>
      <a:solidFill>
        <a:srgbClr val="53565A"/>
      </a:solidFill>
    </a:ln>
  </c:spPr>
  <c:printSettings>
    <c:headerFooter/>
    <c:pageMargins b="0.75" l="0.7" r="0.7" t="0.75" header="0.3" footer="0.3"/>
    <c:pageSetup orientation="portrait"/>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34"/>
    </mc:Choice>
    <mc:Fallback>
      <c:style val="34"/>
    </mc:Fallback>
  </mc:AlternateContent>
  <c:clrMapOvr bg1="lt1" tx1="dk1" bg2="lt2" tx2="dk2" accent1="accent1" accent2="accent2" accent3="accent3" accent4="accent4" accent5="accent5" accent6="accent6" hlink="hlink" folHlink="folHlink"/>
  <c:chart>
    <c:title>
      <c:tx>
        <c:rich>
          <a:bodyPr/>
          <a:lstStyle/>
          <a:p>
            <a:pPr>
              <a:defRPr sz="1200" b="0">
                <a:solidFill>
                  <a:srgbClr val="53565A"/>
                </a:solidFill>
                <a:latin typeface="Arial" panose="020B0604020202020204" pitchFamily="34" charset="0"/>
                <a:ea typeface="Open Sans Semibold" panose="020B0706030804020204" pitchFamily="34" charset="0"/>
                <a:cs typeface="Arial" panose="020B0604020202020204" pitchFamily="34" charset="0"/>
              </a:defRPr>
            </a:pPr>
            <a:r>
              <a:rPr lang="en-US" sz="1200">
                <a:solidFill>
                  <a:srgbClr val="53565A"/>
                </a:solidFill>
                <a:latin typeface="Arial" panose="020B0604020202020204" pitchFamily="34" charset="0"/>
                <a:ea typeface="Open Sans Semibold" panose="020B0706030804020204" pitchFamily="34" charset="0"/>
                <a:cs typeface="Arial" panose="020B0604020202020204" pitchFamily="34" charset="0"/>
              </a:rPr>
              <a:t>Instruction Expenditures</a:t>
            </a:r>
          </a:p>
        </c:rich>
      </c:tx>
      <c:overlay val="0"/>
    </c:title>
    <c:autoTitleDeleted val="0"/>
    <c:view3D>
      <c:rotX val="15"/>
      <c:rotY val="20"/>
      <c:depthPercent val="100"/>
      <c:rAngAx val="1"/>
    </c:view3D>
    <c:floor>
      <c:thickness val="0"/>
      <c:spPr>
        <a:gradFill flip="none" rotWithShape="1">
          <a:gsLst>
            <a:gs pos="0">
              <a:srgbClr val="12284C">
                <a:lumMod val="5000"/>
                <a:lumOff val="95000"/>
              </a:srgbClr>
            </a:gs>
            <a:gs pos="74000">
              <a:srgbClr val="12284C">
                <a:lumMod val="45000"/>
                <a:lumOff val="55000"/>
              </a:srgbClr>
            </a:gs>
            <a:gs pos="83000">
              <a:srgbClr val="12284C">
                <a:lumMod val="45000"/>
                <a:lumOff val="55000"/>
              </a:srgbClr>
            </a:gs>
            <a:gs pos="100000">
              <a:srgbClr val="12284C">
                <a:lumMod val="30000"/>
                <a:lumOff val="70000"/>
              </a:srgbClr>
            </a:gs>
          </a:gsLst>
          <a:path path="circle">
            <a:fillToRect l="100000" t="100000"/>
          </a:path>
          <a:tileRect r="-100000" b="-100000"/>
        </a:gradFill>
        <a:ln>
          <a:solidFill>
            <a:srgbClr val="12284C"/>
          </a:solidFill>
        </a:ln>
      </c:spPr>
    </c:floor>
    <c:sideWall>
      <c:thickness val="0"/>
      <c:spPr>
        <a:gradFill flip="none" rotWithShape="1">
          <a:gsLst>
            <a:gs pos="0">
              <a:srgbClr val="12284C">
                <a:lumMod val="5000"/>
                <a:lumOff val="95000"/>
              </a:srgbClr>
            </a:gs>
            <a:gs pos="74000">
              <a:srgbClr val="12284C">
                <a:lumMod val="45000"/>
                <a:lumOff val="55000"/>
              </a:srgbClr>
            </a:gs>
            <a:gs pos="83000">
              <a:srgbClr val="12284C">
                <a:lumMod val="45000"/>
                <a:lumOff val="55000"/>
              </a:srgbClr>
            </a:gs>
            <a:gs pos="100000">
              <a:srgbClr val="12284C">
                <a:lumMod val="30000"/>
                <a:lumOff val="70000"/>
              </a:srgbClr>
            </a:gs>
          </a:gsLst>
          <a:path path="circle">
            <a:fillToRect l="100000" t="100000"/>
          </a:path>
          <a:tileRect r="-100000" b="-100000"/>
        </a:gradFill>
        <a:ln>
          <a:solidFill>
            <a:srgbClr val="12284C"/>
          </a:solidFill>
        </a:ln>
      </c:spPr>
    </c:sideWall>
    <c:backWall>
      <c:thickness val="0"/>
      <c:spPr>
        <a:gradFill flip="none" rotWithShape="1">
          <a:gsLst>
            <a:gs pos="0">
              <a:srgbClr val="12284C">
                <a:lumMod val="5000"/>
                <a:lumOff val="95000"/>
              </a:srgbClr>
            </a:gs>
            <a:gs pos="74000">
              <a:srgbClr val="12284C">
                <a:lumMod val="45000"/>
                <a:lumOff val="55000"/>
              </a:srgbClr>
            </a:gs>
            <a:gs pos="83000">
              <a:srgbClr val="12284C">
                <a:lumMod val="45000"/>
                <a:lumOff val="55000"/>
              </a:srgbClr>
            </a:gs>
            <a:gs pos="100000">
              <a:srgbClr val="12284C">
                <a:lumMod val="30000"/>
                <a:lumOff val="70000"/>
              </a:srgbClr>
            </a:gs>
          </a:gsLst>
          <a:path path="circle">
            <a:fillToRect l="100000" t="100000"/>
          </a:path>
          <a:tileRect r="-100000" b="-100000"/>
        </a:gradFill>
        <a:ln>
          <a:solidFill>
            <a:srgbClr val="12284C"/>
          </a:solidFill>
        </a:ln>
      </c:spPr>
    </c:backWall>
    <c:plotArea>
      <c:layout>
        <c:manualLayout>
          <c:layoutTarget val="inner"/>
          <c:xMode val="edge"/>
          <c:yMode val="edge"/>
          <c:x val="0.13616746770290078"/>
          <c:y val="0.17558864463975901"/>
          <c:w val="0.86161629175172316"/>
          <c:h val="0.74349522617064101"/>
        </c:manualLayout>
      </c:layout>
      <c:bar3DChart>
        <c:barDir val="col"/>
        <c:grouping val="clustered"/>
        <c:varyColors val="0"/>
        <c:ser>
          <c:idx val="0"/>
          <c:order val="0"/>
          <c:tx>
            <c:v>Instruction Expenditures</c:v>
          </c:tx>
          <c:spPr>
            <a:solidFill>
              <a:srgbClr val="FFA400"/>
            </a:solidFill>
            <a:ln>
              <a:solidFill>
                <a:srgbClr val="D28700"/>
              </a:solidFill>
            </a:ln>
          </c:spPr>
          <c:invertIfNegative val="0"/>
          <c:dPt>
            <c:idx val="1"/>
            <c:invertIfNegative val="0"/>
            <c:bubble3D val="0"/>
            <c:spPr>
              <a:solidFill>
                <a:srgbClr val="00B796"/>
              </a:solidFill>
              <a:ln>
                <a:solidFill>
                  <a:srgbClr val="008269"/>
                </a:solidFill>
              </a:ln>
            </c:spPr>
            <c:extLst>
              <c:ext xmlns:c16="http://schemas.microsoft.com/office/drawing/2014/chart" uri="{C3380CC4-5D6E-409C-BE32-E72D297353CC}">
                <c16:uniqueId val="{00000003-EA90-4AD3-ABE4-5B34F4836766}"/>
              </c:ext>
            </c:extLst>
          </c:dPt>
          <c:dPt>
            <c:idx val="2"/>
            <c:invertIfNegative val="0"/>
            <c:bubble3D val="0"/>
            <c:spPr>
              <a:solidFill>
                <a:srgbClr val="B7312C"/>
              </a:solidFill>
              <a:ln>
                <a:solidFill>
                  <a:srgbClr val="7F241F"/>
                </a:solidFill>
              </a:ln>
            </c:spPr>
            <c:extLst>
              <c:ext xmlns:c16="http://schemas.microsoft.com/office/drawing/2014/chart" uri="{C3380CC4-5D6E-409C-BE32-E72D297353CC}">
                <c16:uniqueId val="{00000004-EA90-4AD3-ABE4-5B34F4836766}"/>
              </c:ext>
            </c:extLst>
          </c:dPt>
          <c:dPt>
            <c:idx val="3"/>
            <c:invertIfNegative val="0"/>
            <c:bubble3D val="0"/>
            <c:spPr>
              <a:solidFill>
                <a:srgbClr val="005587"/>
              </a:solidFill>
              <a:ln>
                <a:solidFill>
                  <a:srgbClr val="12284C"/>
                </a:solidFill>
              </a:ln>
            </c:spPr>
            <c:extLst>
              <c:ext xmlns:c16="http://schemas.microsoft.com/office/drawing/2014/chart" uri="{C3380CC4-5D6E-409C-BE32-E72D297353CC}">
                <c16:uniqueId val="{00000005-D4E3-40AF-8345-71890A74772B}"/>
              </c:ext>
            </c:extLst>
          </c:dPt>
          <c:dPt>
            <c:idx val="4"/>
            <c:invertIfNegative val="0"/>
            <c:bubble3D val="0"/>
            <c:spPr>
              <a:solidFill>
                <a:srgbClr val="53565A"/>
              </a:solidFill>
              <a:ln>
                <a:solidFill>
                  <a:srgbClr val="383A3C"/>
                </a:solidFill>
              </a:ln>
            </c:spPr>
            <c:extLst>
              <c:ext xmlns:c16="http://schemas.microsoft.com/office/drawing/2014/chart" uri="{C3380CC4-5D6E-409C-BE32-E72D297353CC}">
                <c16:uniqueId val="{00000006-D4E3-40AF-8345-71890A74772B}"/>
              </c:ext>
            </c:extLst>
          </c:dPt>
          <c:dLbls>
            <c:delete val="1"/>
          </c:dLbls>
          <c:cat>
            <c:strRef>
              <c:f>SUMEXPEN!$P$369:$R$369</c:f>
              <c:strCache>
                <c:ptCount val="3"/>
                <c:pt idx="0">
                  <c:v>2023-2024</c:v>
                </c:pt>
                <c:pt idx="1">
                  <c:v>2024-2025</c:v>
                </c:pt>
                <c:pt idx="2">
                  <c:v>2025-2026</c:v>
                </c:pt>
              </c:strCache>
            </c:strRef>
          </c:cat>
          <c:val>
            <c:numRef>
              <c:f>SUMEXPEN!$P$370:$R$370</c:f>
              <c:numCache>
                <c:formatCode>"$"#,##0</c:formatCode>
                <c:ptCount val="3"/>
                <c:pt idx="0">
                  <c:v>938685</c:v>
                </c:pt>
                <c:pt idx="1">
                  <c:v>1968697</c:v>
                </c:pt>
                <c:pt idx="2">
                  <c:v>1412804</c:v>
                </c:pt>
              </c:numCache>
            </c:numRef>
          </c:val>
          <c:shape val="pyramid"/>
          <c:extLst>
            <c:ext xmlns:c16="http://schemas.microsoft.com/office/drawing/2014/chart" uri="{C3380CC4-5D6E-409C-BE32-E72D297353CC}">
              <c16:uniqueId val="{00000000-03ED-42F9-B639-8C83BB0EB494}"/>
            </c:ext>
          </c:extLst>
        </c:ser>
        <c:dLbls>
          <c:showLegendKey val="0"/>
          <c:showVal val="1"/>
          <c:showCatName val="0"/>
          <c:showSerName val="0"/>
          <c:showPercent val="0"/>
          <c:showBubbleSize val="0"/>
        </c:dLbls>
        <c:gapWidth val="150"/>
        <c:shape val="box"/>
        <c:axId val="128185088"/>
        <c:axId val="128186624"/>
        <c:axId val="0"/>
      </c:bar3DChart>
      <c:catAx>
        <c:axId val="128185088"/>
        <c:scaling>
          <c:orientation val="minMax"/>
        </c:scaling>
        <c:delete val="0"/>
        <c:axPos val="b"/>
        <c:numFmt formatCode="General" sourceLinked="1"/>
        <c:majorTickMark val="none"/>
        <c:minorTickMark val="none"/>
        <c:tickLblPos val="nextTo"/>
        <c:spPr>
          <a:noFill/>
        </c:spPr>
        <c:txPr>
          <a:bodyPr rot="0" anchor="t" anchorCtr="0"/>
          <a:lstStyle/>
          <a:p>
            <a:pPr>
              <a:defRPr sz="900" b="0" baseline="0">
                <a:solidFill>
                  <a:sysClr val="windowText" lastClr="000000"/>
                </a:solidFill>
                <a:latin typeface="Arial" panose="020B0604020202020204" pitchFamily="34" charset="0"/>
                <a:ea typeface="Open Sans" panose="020B0606030504020204" pitchFamily="34" charset="0"/>
                <a:cs typeface="Arial" panose="020B0604020202020204" pitchFamily="34" charset="0"/>
              </a:defRPr>
            </a:pPr>
            <a:endParaRPr lang="en-US"/>
          </a:p>
        </c:txPr>
        <c:crossAx val="128186624"/>
        <c:crosses val="autoZero"/>
        <c:auto val="1"/>
        <c:lblAlgn val="ctr"/>
        <c:lblOffset val="100"/>
        <c:noMultiLvlLbl val="0"/>
      </c:catAx>
      <c:valAx>
        <c:axId val="128186624"/>
        <c:scaling>
          <c:orientation val="minMax"/>
        </c:scaling>
        <c:delete val="0"/>
        <c:axPos val="l"/>
        <c:majorGridlines>
          <c:spPr>
            <a:ln>
              <a:solidFill>
                <a:srgbClr val="53565A"/>
              </a:solidFill>
            </a:ln>
          </c:spPr>
        </c:majorGridlines>
        <c:numFmt formatCode="&quot;$&quot;#,##0" sourceLinked="1"/>
        <c:majorTickMark val="none"/>
        <c:minorTickMark val="none"/>
        <c:tickLblPos val="nextTo"/>
        <c:spPr>
          <a:ln>
            <a:solidFill>
              <a:srgbClr val="53565A"/>
            </a:solidFill>
          </a:ln>
        </c:spPr>
        <c:txPr>
          <a:bodyPr/>
          <a:lstStyle/>
          <a:p>
            <a:pPr>
              <a:defRPr sz="900" baseline="0">
                <a:latin typeface="Arial" panose="020B0604020202020204" pitchFamily="34" charset="0"/>
                <a:ea typeface="Open Sans" panose="020B0606030504020204" pitchFamily="34" charset="0"/>
                <a:cs typeface="Arial" panose="020B0604020202020204" pitchFamily="34" charset="0"/>
              </a:defRPr>
            </a:pPr>
            <a:endParaRPr lang="en-US"/>
          </a:p>
        </c:txPr>
        <c:crossAx val="128185088"/>
        <c:crosses val="autoZero"/>
        <c:crossBetween val="between"/>
      </c:valAx>
      <c:spPr>
        <a:solidFill>
          <a:schemeClr val="bg1"/>
        </a:solidFill>
        <a:ln>
          <a:noFill/>
        </a:ln>
      </c:spPr>
    </c:plotArea>
    <c:plotVisOnly val="1"/>
    <c:dispBlanksAs val="gap"/>
    <c:showDLblsOverMax val="0"/>
  </c:chart>
  <c:spPr>
    <a:ln>
      <a:solidFill>
        <a:srgbClr val="53565A"/>
      </a:solidFill>
    </a:ln>
  </c:spPr>
  <c:printSettings>
    <c:headerFooter/>
    <c:pageMargins b="0.75" l="0.7" r="0.7" t="0.75" header="0.3" footer="0.3"/>
    <c:pageSetup orientation="portrait"/>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34"/>
    </mc:Choice>
    <mc:Fallback>
      <c:style val="34"/>
    </mc:Fallback>
  </mc:AlternateContent>
  <c:clrMapOvr bg1="lt1" tx1="dk1" bg2="lt2" tx2="dk2" accent1="accent1" accent2="accent2" accent3="accent3" accent4="accent4" accent5="accent5" accent6="accent6" hlink="hlink" folHlink="folHlink"/>
  <c:chart>
    <c:title>
      <c:tx>
        <c:rich>
          <a:bodyPr/>
          <a:lstStyle/>
          <a:p>
            <a:pPr>
              <a:defRPr sz="1200" b="0">
                <a:solidFill>
                  <a:srgbClr val="005587"/>
                </a:solidFill>
                <a:latin typeface="Arial" panose="020B0604020202020204" pitchFamily="34" charset="0"/>
                <a:ea typeface="Open Sans Semibold" panose="020B0706030804020204" pitchFamily="34" charset="0"/>
                <a:cs typeface="Arial" panose="020B0604020202020204" pitchFamily="34" charset="0"/>
              </a:defRPr>
            </a:pPr>
            <a:r>
              <a:rPr lang="en-US">
                <a:latin typeface="Arial" panose="020B0604020202020204" pitchFamily="34" charset="0"/>
                <a:ea typeface="Open Sans Semibold" panose="020B0706030804020204" pitchFamily="34" charset="0"/>
                <a:cs typeface="Arial" panose="020B0604020202020204" pitchFamily="34" charset="0"/>
              </a:rPr>
              <a:t>FTE Enrollment for Budget Authority</a:t>
            </a:r>
          </a:p>
        </c:rich>
      </c:tx>
      <c:layout>
        <c:manualLayout>
          <c:xMode val="edge"/>
          <c:yMode val="edge"/>
          <c:x val="0.22994030061727555"/>
          <c:y val="2.6920639227398853E-2"/>
        </c:manualLayout>
      </c:layout>
      <c:overlay val="0"/>
    </c:title>
    <c:autoTitleDeleted val="0"/>
    <c:view3D>
      <c:rotX val="15"/>
      <c:rotY val="20"/>
      <c:depthPercent val="100"/>
      <c:rAngAx val="1"/>
    </c:view3D>
    <c:floor>
      <c:thickness val="0"/>
      <c:spPr>
        <a:gradFill flip="none" rotWithShape="1">
          <a:gsLst>
            <a:gs pos="0">
              <a:srgbClr val="12284C">
                <a:lumMod val="5000"/>
                <a:lumOff val="95000"/>
              </a:srgbClr>
            </a:gs>
            <a:gs pos="74000">
              <a:srgbClr val="12284C">
                <a:lumMod val="45000"/>
                <a:lumOff val="55000"/>
              </a:srgbClr>
            </a:gs>
            <a:gs pos="83000">
              <a:srgbClr val="12284C">
                <a:lumMod val="45000"/>
                <a:lumOff val="55000"/>
              </a:srgbClr>
            </a:gs>
            <a:gs pos="100000">
              <a:srgbClr val="12284C">
                <a:lumMod val="30000"/>
                <a:lumOff val="70000"/>
              </a:srgbClr>
            </a:gs>
          </a:gsLst>
          <a:path path="circle">
            <a:fillToRect l="100000" t="100000"/>
          </a:path>
          <a:tileRect r="-100000" b="-100000"/>
        </a:gradFill>
        <a:ln>
          <a:solidFill>
            <a:srgbClr val="12284C"/>
          </a:solidFill>
        </a:ln>
      </c:spPr>
    </c:floor>
    <c:sideWall>
      <c:thickness val="0"/>
      <c:spPr>
        <a:gradFill flip="none" rotWithShape="1">
          <a:gsLst>
            <a:gs pos="0">
              <a:srgbClr val="12284C">
                <a:lumMod val="5000"/>
                <a:lumOff val="95000"/>
              </a:srgbClr>
            </a:gs>
            <a:gs pos="74000">
              <a:srgbClr val="12284C">
                <a:lumMod val="45000"/>
                <a:lumOff val="55000"/>
              </a:srgbClr>
            </a:gs>
            <a:gs pos="83000">
              <a:srgbClr val="12284C">
                <a:lumMod val="45000"/>
                <a:lumOff val="55000"/>
              </a:srgbClr>
            </a:gs>
            <a:gs pos="100000">
              <a:srgbClr val="12284C">
                <a:lumMod val="30000"/>
                <a:lumOff val="70000"/>
              </a:srgbClr>
            </a:gs>
          </a:gsLst>
          <a:path path="circle">
            <a:fillToRect l="100000" t="100000"/>
          </a:path>
          <a:tileRect r="-100000" b="-100000"/>
        </a:gradFill>
        <a:ln>
          <a:solidFill>
            <a:srgbClr val="12284C"/>
          </a:solidFill>
        </a:ln>
      </c:spPr>
    </c:sideWall>
    <c:backWall>
      <c:thickness val="0"/>
      <c:spPr>
        <a:gradFill flip="none" rotWithShape="1">
          <a:gsLst>
            <a:gs pos="0">
              <a:srgbClr val="12284C">
                <a:lumMod val="5000"/>
                <a:lumOff val="95000"/>
              </a:srgbClr>
            </a:gs>
            <a:gs pos="74000">
              <a:srgbClr val="12284C">
                <a:lumMod val="45000"/>
                <a:lumOff val="55000"/>
              </a:srgbClr>
            </a:gs>
            <a:gs pos="83000">
              <a:srgbClr val="12284C">
                <a:lumMod val="45000"/>
                <a:lumOff val="55000"/>
              </a:srgbClr>
            </a:gs>
            <a:gs pos="100000">
              <a:srgbClr val="12284C">
                <a:lumMod val="30000"/>
                <a:lumOff val="70000"/>
              </a:srgbClr>
            </a:gs>
          </a:gsLst>
          <a:path path="circle">
            <a:fillToRect l="100000" t="100000"/>
          </a:path>
          <a:tileRect r="-100000" b="-100000"/>
        </a:gradFill>
        <a:ln>
          <a:solidFill>
            <a:srgbClr val="12284C"/>
          </a:solidFill>
        </a:ln>
      </c:spPr>
    </c:backWall>
    <c:plotArea>
      <c:layout>
        <c:manualLayout>
          <c:layoutTarget val="inner"/>
          <c:xMode val="edge"/>
          <c:yMode val="edge"/>
          <c:x val="9.4248112197436867E-2"/>
          <c:y val="0.17558864463975901"/>
          <c:w val="0.9057518878025631"/>
          <c:h val="0.74322302937034679"/>
        </c:manualLayout>
      </c:layout>
      <c:bar3DChart>
        <c:barDir val="col"/>
        <c:grouping val="clustered"/>
        <c:varyColors val="0"/>
        <c:ser>
          <c:idx val="0"/>
          <c:order val="0"/>
          <c:tx>
            <c:v>FTE Enrollment for Budget Authority</c:v>
          </c:tx>
          <c:spPr>
            <a:solidFill>
              <a:srgbClr val="FFA400"/>
            </a:solidFill>
            <a:ln>
              <a:solidFill>
                <a:srgbClr val="D28700"/>
              </a:solidFill>
            </a:ln>
          </c:spPr>
          <c:invertIfNegative val="0"/>
          <c:dPt>
            <c:idx val="1"/>
            <c:invertIfNegative val="0"/>
            <c:bubble3D val="0"/>
            <c:spPr>
              <a:solidFill>
                <a:srgbClr val="12284C"/>
              </a:solidFill>
              <a:ln>
                <a:solidFill>
                  <a:srgbClr val="005587"/>
                </a:solidFill>
              </a:ln>
            </c:spPr>
            <c:extLst>
              <c:ext xmlns:c16="http://schemas.microsoft.com/office/drawing/2014/chart" uri="{C3380CC4-5D6E-409C-BE32-E72D297353CC}">
                <c16:uniqueId val="{00000003-EA90-4AD3-ABE4-5B34F4836766}"/>
              </c:ext>
            </c:extLst>
          </c:dPt>
          <c:dPt>
            <c:idx val="2"/>
            <c:invertIfNegative val="0"/>
            <c:bubble3D val="0"/>
            <c:spPr>
              <a:solidFill>
                <a:srgbClr val="00B796"/>
              </a:solidFill>
              <a:ln>
                <a:solidFill>
                  <a:srgbClr val="008269"/>
                </a:solidFill>
              </a:ln>
            </c:spPr>
            <c:extLst>
              <c:ext xmlns:c16="http://schemas.microsoft.com/office/drawing/2014/chart" uri="{C3380CC4-5D6E-409C-BE32-E72D297353CC}">
                <c16:uniqueId val="{00000004-EA90-4AD3-ABE4-5B34F4836766}"/>
              </c:ext>
            </c:extLst>
          </c:dPt>
          <c:dPt>
            <c:idx val="3"/>
            <c:invertIfNegative val="0"/>
            <c:bubble3D val="0"/>
            <c:spPr>
              <a:solidFill>
                <a:srgbClr val="D50032"/>
              </a:solidFill>
              <a:ln>
                <a:solidFill>
                  <a:srgbClr val="B7312C"/>
                </a:solidFill>
              </a:ln>
            </c:spPr>
            <c:extLst>
              <c:ext xmlns:c16="http://schemas.microsoft.com/office/drawing/2014/chart" uri="{C3380CC4-5D6E-409C-BE32-E72D297353CC}">
                <c16:uniqueId val="{00000005-D4E3-40AF-8345-71890A74772B}"/>
              </c:ext>
            </c:extLst>
          </c:dPt>
          <c:dPt>
            <c:idx val="4"/>
            <c:invertIfNegative val="0"/>
            <c:bubble3D val="0"/>
            <c:spPr>
              <a:solidFill>
                <a:srgbClr val="53565A"/>
              </a:solidFill>
              <a:ln>
                <a:solidFill>
                  <a:srgbClr val="C2C4C6"/>
                </a:solidFill>
              </a:ln>
            </c:spPr>
            <c:extLst>
              <c:ext xmlns:c16="http://schemas.microsoft.com/office/drawing/2014/chart" uri="{C3380CC4-5D6E-409C-BE32-E72D297353CC}">
                <c16:uniqueId val="{00000006-D4E3-40AF-8345-71890A74772B}"/>
              </c:ext>
            </c:extLst>
          </c:dPt>
          <c:dLbls>
            <c:delete val="1"/>
          </c:dLbls>
          <c:cat>
            <c:strRef>
              <c:f>SUMEXPEN!$P$1329:$T$1329</c:f>
              <c:strCache>
                <c:ptCount val="5"/>
                <c:pt idx="0">
                  <c:v>2021-2022</c:v>
                </c:pt>
                <c:pt idx="1">
                  <c:v>2022-2023</c:v>
                </c:pt>
                <c:pt idx="2">
                  <c:v>2023-2024</c:v>
                </c:pt>
                <c:pt idx="3">
                  <c:v>2024-2025</c:v>
                </c:pt>
                <c:pt idx="4">
                  <c:v>2025-2026</c:v>
                </c:pt>
              </c:strCache>
            </c:strRef>
          </c:cat>
          <c:val>
            <c:numRef>
              <c:f>SUMEXPEN!$P$1330:$T$1330</c:f>
              <c:numCache>
                <c:formatCode>#,##0.0</c:formatCode>
                <c:ptCount val="5"/>
                <c:pt idx="0">
                  <c:v>99</c:v>
                </c:pt>
                <c:pt idx="1">
                  <c:v>67.5</c:v>
                </c:pt>
                <c:pt idx="2">
                  <c:v>70.7</c:v>
                </c:pt>
                <c:pt idx="3">
                  <c:v>82.5</c:v>
                </c:pt>
                <c:pt idx="4">
                  <c:v>70</c:v>
                </c:pt>
              </c:numCache>
            </c:numRef>
          </c:val>
          <c:shape val="pyramid"/>
          <c:extLst>
            <c:ext xmlns:c16="http://schemas.microsoft.com/office/drawing/2014/chart" uri="{C3380CC4-5D6E-409C-BE32-E72D297353CC}">
              <c16:uniqueId val="{00000000-03ED-42F9-B639-8C83BB0EB494}"/>
            </c:ext>
          </c:extLst>
        </c:ser>
        <c:dLbls>
          <c:showLegendKey val="0"/>
          <c:showVal val="1"/>
          <c:showCatName val="0"/>
          <c:showSerName val="0"/>
          <c:showPercent val="0"/>
          <c:showBubbleSize val="0"/>
        </c:dLbls>
        <c:gapWidth val="150"/>
        <c:shape val="box"/>
        <c:axId val="128185088"/>
        <c:axId val="128186624"/>
        <c:axId val="0"/>
      </c:bar3DChart>
      <c:catAx>
        <c:axId val="128185088"/>
        <c:scaling>
          <c:orientation val="minMax"/>
        </c:scaling>
        <c:delete val="0"/>
        <c:axPos val="b"/>
        <c:numFmt formatCode="General" sourceLinked="1"/>
        <c:majorTickMark val="none"/>
        <c:minorTickMark val="none"/>
        <c:tickLblPos val="nextTo"/>
        <c:spPr>
          <a:noFill/>
        </c:spPr>
        <c:txPr>
          <a:bodyPr rot="0" anchor="t" anchorCtr="0"/>
          <a:lstStyle/>
          <a:p>
            <a:pPr>
              <a:defRPr sz="900" b="0" baseline="0">
                <a:solidFill>
                  <a:sysClr val="windowText" lastClr="000000"/>
                </a:solidFill>
                <a:latin typeface="Arial" panose="020B0604020202020204" pitchFamily="34" charset="0"/>
                <a:ea typeface="Open Sans" panose="020B0606030504020204" pitchFamily="34" charset="0"/>
                <a:cs typeface="Arial" panose="020B0604020202020204" pitchFamily="34" charset="0"/>
              </a:defRPr>
            </a:pPr>
            <a:endParaRPr lang="en-US"/>
          </a:p>
        </c:txPr>
        <c:crossAx val="128186624"/>
        <c:crosses val="autoZero"/>
        <c:auto val="1"/>
        <c:lblAlgn val="ctr"/>
        <c:lblOffset val="100"/>
        <c:noMultiLvlLbl val="0"/>
      </c:catAx>
      <c:valAx>
        <c:axId val="128186624"/>
        <c:scaling>
          <c:orientation val="minMax"/>
        </c:scaling>
        <c:delete val="0"/>
        <c:axPos val="l"/>
        <c:majorGridlines>
          <c:spPr>
            <a:ln>
              <a:solidFill>
                <a:srgbClr val="53565A"/>
              </a:solidFill>
            </a:ln>
          </c:spPr>
        </c:majorGridlines>
        <c:numFmt formatCode="#,##0.0" sourceLinked="1"/>
        <c:majorTickMark val="none"/>
        <c:minorTickMark val="none"/>
        <c:tickLblPos val="nextTo"/>
        <c:spPr>
          <a:ln>
            <a:solidFill>
              <a:srgbClr val="53565A"/>
            </a:solidFill>
          </a:ln>
        </c:spPr>
        <c:txPr>
          <a:bodyPr/>
          <a:lstStyle/>
          <a:p>
            <a:pPr>
              <a:defRPr sz="900" baseline="0">
                <a:latin typeface="Arial" panose="020B0604020202020204" pitchFamily="34" charset="0"/>
                <a:ea typeface="Open Sans" panose="020B0606030504020204" pitchFamily="34" charset="0"/>
                <a:cs typeface="Arial" panose="020B0604020202020204" pitchFamily="34" charset="0"/>
              </a:defRPr>
            </a:pPr>
            <a:endParaRPr lang="en-US"/>
          </a:p>
        </c:txPr>
        <c:crossAx val="128185088"/>
        <c:crosses val="autoZero"/>
        <c:crossBetween val="between"/>
      </c:valAx>
      <c:spPr>
        <a:solidFill>
          <a:schemeClr val="bg1"/>
        </a:solidFill>
        <a:ln>
          <a:noFill/>
        </a:ln>
      </c:spPr>
    </c:plotArea>
    <c:plotVisOnly val="1"/>
    <c:dispBlanksAs val="gap"/>
    <c:showDLblsOverMax val="0"/>
  </c:chart>
  <c:spPr>
    <a:ln>
      <a:solidFill>
        <a:srgbClr val="53565A"/>
      </a:solidFill>
    </a:ln>
  </c:spPr>
  <c:printSettings>
    <c:headerFooter/>
    <c:pageMargins b="0.75" l="0.7" r="0.7" t="0.75" header="0.3" footer="0.3"/>
    <c:pageSetup orientation="portrait"/>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34"/>
    </mc:Choice>
    <mc:Fallback>
      <c:style val="34"/>
    </mc:Fallback>
  </mc:AlternateContent>
  <c:clrMapOvr bg1="lt1" tx1="dk1" bg2="lt2" tx2="dk2" accent1="accent1" accent2="accent2" accent3="accent3" accent4="accent4" accent5="accent5" accent6="accent6" hlink="hlink" folHlink="folHlink"/>
  <c:chart>
    <c:title>
      <c:tx>
        <c:rich>
          <a:bodyPr/>
          <a:lstStyle/>
          <a:p>
            <a:pPr>
              <a:defRPr sz="1100" b="0">
                <a:solidFill>
                  <a:srgbClr val="12284C"/>
                </a:solidFill>
                <a:latin typeface="Arial" panose="020B0604020202020204" pitchFamily="34" charset="0"/>
                <a:ea typeface="Open Sans Semibold" panose="020B0706030804020204" pitchFamily="34" charset="0"/>
                <a:cs typeface="Arial" panose="020B0604020202020204" pitchFamily="34" charset="0"/>
              </a:defRPr>
            </a:pPr>
            <a:r>
              <a:rPr lang="en-US" sz="1200">
                <a:solidFill>
                  <a:srgbClr val="12284C"/>
                </a:solidFill>
                <a:latin typeface="Arial" panose="020B0604020202020204" pitchFamily="34" charset="0"/>
                <a:ea typeface="Open Sans Semibold" panose="020B0706030804020204" pitchFamily="34" charset="0"/>
                <a:cs typeface="Arial" panose="020B0604020202020204" pitchFamily="34" charset="0"/>
              </a:rPr>
              <a:t>Total USD Mill Rate</a:t>
            </a:r>
          </a:p>
        </c:rich>
      </c:tx>
      <c:overlay val="0"/>
    </c:title>
    <c:autoTitleDeleted val="0"/>
    <c:view3D>
      <c:rotX val="15"/>
      <c:rotY val="20"/>
      <c:depthPercent val="100"/>
      <c:rAngAx val="1"/>
    </c:view3D>
    <c:floor>
      <c:thickness val="0"/>
      <c:spPr>
        <a:gradFill flip="none" rotWithShape="1">
          <a:gsLst>
            <a:gs pos="0">
              <a:srgbClr val="12284C">
                <a:lumMod val="5000"/>
                <a:lumOff val="95000"/>
              </a:srgbClr>
            </a:gs>
            <a:gs pos="74000">
              <a:srgbClr val="12284C">
                <a:lumMod val="45000"/>
                <a:lumOff val="55000"/>
              </a:srgbClr>
            </a:gs>
            <a:gs pos="83000">
              <a:srgbClr val="12284C">
                <a:lumMod val="45000"/>
                <a:lumOff val="55000"/>
              </a:srgbClr>
            </a:gs>
            <a:gs pos="100000">
              <a:srgbClr val="12284C">
                <a:lumMod val="30000"/>
                <a:lumOff val="70000"/>
              </a:srgbClr>
            </a:gs>
          </a:gsLst>
          <a:path path="circle">
            <a:fillToRect l="100000" t="100000"/>
          </a:path>
          <a:tileRect r="-100000" b="-100000"/>
        </a:gradFill>
        <a:ln>
          <a:solidFill>
            <a:srgbClr val="12284C"/>
          </a:solidFill>
        </a:ln>
      </c:spPr>
    </c:floor>
    <c:sideWall>
      <c:thickness val="0"/>
      <c:spPr>
        <a:gradFill flip="none" rotWithShape="1">
          <a:gsLst>
            <a:gs pos="0">
              <a:srgbClr val="12284C">
                <a:lumMod val="5000"/>
                <a:lumOff val="95000"/>
              </a:srgbClr>
            </a:gs>
            <a:gs pos="74000">
              <a:srgbClr val="12284C">
                <a:lumMod val="45000"/>
                <a:lumOff val="55000"/>
              </a:srgbClr>
            </a:gs>
            <a:gs pos="83000">
              <a:srgbClr val="12284C">
                <a:lumMod val="45000"/>
                <a:lumOff val="55000"/>
              </a:srgbClr>
            </a:gs>
            <a:gs pos="100000">
              <a:srgbClr val="12284C">
                <a:lumMod val="30000"/>
                <a:lumOff val="70000"/>
              </a:srgbClr>
            </a:gs>
          </a:gsLst>
          <a:path path="circle">
            <a:fillToRect l="100000" t="100000"/>
          </a:path>
          <a:tileRect r="-100000" b="-100000"/>
        </a:gradFill>
        <a:ln>
          <a:solidFill>
            <a:srgbClr val="12284C"/>
          </a:solidFill>
        </a:ln>
      </c:spPr>
    </c:sideWall>
    <c:backWall>
      <c:thickness val="0"/>
      <c:spPr>
        <a:gradFill flip="none" rotWithShape="1">
          <a:gsLst>
            <a:gs pos="0">
              <a:srgbClr val="12284C">
                <a:lumMod val="5000"/>
                <a:lumOff val="95000"/>
              </a:srgbClr>
            </a:gs>
            <a:gs pos="74000">
              <a:srgbClr val="12284C">
                <a:lumMod val="45000"/>
                <a:lumOff val="55000"/>
              </a:srgbClr>
            </a:gs>
            <a:gs pos="83000">
              <a:srgbClr val="12284C">
                <a:lumMod val="45000"/>
                <a:lumOff val="55000"/>
              </a:srgbClr>
            </a:gs>
            <a:gs pos="100000">
              <a:srgbClr val="12284C">
                <a:lumMod val="30000"/>
                <a:lumOff val="70000"/>
              </a:srgbClr>
            </a:gs>
          </a:gsLst>
          <a:path path="circle">
            <a:fillToRect l="100000" t="100000"/>
          </a:path>
          <a:tileRect r="-100000" b="-100000"/>
        </a:gradFill>
        <a:ln>
          <a:solidFill>
            <a:srgbClr val="12284C"/>
          </a:solidFill>
        </a:ln>
      </c:spPr>
    </c:backWall>
    <c:plotArea>
      <c:layout>
        <c:manualLayout>
          <c:layoutTarget val="inner"/>
          <c:xMode val="edge"/>
          <c:yMode val="edge"/>
          <c:x val="0.11240854252208941"/>
          <c:y val="0.17558864463975901"/>
          <c:w val="0.88759145747791057"/>
          <c:h val="0.74367573560875455"/>
        </c:manualLayout>
      </c:layout>
      <c:bar3DChart>
        <c:barDir val="col"/>
        <c:grouping val="clustered"/>
        <c:varyColors val="0"/>
        <c:ser>
          <c:idx val="0"/>
          <c:order val="0"/>
          <c:tx>
            <c:v>Total USD Mill Rates</c:v>
          </c:tx>
          <c:spPr>
            <a:solidFill>
              <a:srgbClr val="FFA400"/>
            </a:solidFill>
            <a:ln>
              <a:solidFill>
                <a:srgbClr val="D28700"/>
              </a:solidFill>
            </a:ln>
          </c:spPr>
          <c:invertIfNegative val="0"/>
          <c:dPt>
            <c:idx val="1"/>
            <c:invertIfNegative val="0"/>
            <c:bubble3D val="0"/>
            <c:spPr>
              <a:solidFill>
                <a:srgbClr val="00B796"/>
              </a:solidFill>
              <a:ln>
                <a:solidFill>
                  <a:srgbClr val="008269"/>
                </a:solidFill>
              </a:ln>
            </c:spPr>
            <c:extLst>
              <c:ext xmlns:c16="http://schemas.microsoft.com/office/drawing/2014/chart" uri="{C3380CC4-5D6E-409C-BE32-E72D297353CC}">
                <c16:uniqueId val="{00000003-EA90-4AD3-ABE4-5B34F4836766}"/>
              </c:ext>
            </c:extLst>
          </c:dPt>
          <c:dPt>
            <c:idx val="2"/>
            <c:invertIfNegative val="0"/>
            <c:bubble3D val="0"/>
            <c:spPr>
              <a:solidFill>
                <a:srgbClr val="B7312C"/>
              </a:solidFill>
              <a:ln>
                <a:solidFill>
                  <a:srgbClr val="7F241F"/>
                </a:solidFill>
              </a:ln>
            </c:spPr>
            <c:extLst>
              <c:ext xmlns:c16="http://schemas.microsoft.com/office/drawing/2014/chart" uri="{C3380CC4-5D6E-409C-BE32-E72D297353CC}">
                <c16:uniqueId val="{00000004-EA90-4AD3-ABE4-5B34F4836766}"/>
              </c:ext>
            </c:extLst>
          </c:dPt>
          <c:dPt>
            <c:idx val="3"/>
            <c:invertIfNegative val="0"/>
            <c:bubble3D val="0"/>
            <c:spPr>
              <a:solidFill>
                <a:srgbClr val="005587"/>
              </a:solidFill>
              <a:ln>
                <a:solidFill>
                  <a:srgbClr val="12284C"/>
                </a:solidFill>
              </a:ln>
            </c:spPr>
            <c:extLst>
              <c:ext xmlns:c16="http://schemas.microsoft.com/office/drawing/2014/chart" uri="{C3380CC4-5D6E-409C-BE32-E72D297353CC}">
                <c16:uniqueId val="{00000005-D4E3-40AF-8345-71890A74772B}"/>
              </c:ext>
            </c:extLst>
          </c:dPt>
          <c:dPt>
            <c:idx val="4"/>
            <c:invertIfNegative val="0"/>
            <c:bubble3D val="0"/>
            <c:spPr>
              <a:solidFill>
                <a:srgbClr val="53565A"/>
              </a:solidFill>
              <a:ln>
                <a:solidFill>
                  <a:srgbClr val="383A3C"/>
                </a:solidFill>
              </a:ln>
            </c:spPr>
            <c:extLst>
              <c:ext xmlns:c16="http://schemas.microsoft.com/office/drawing/2014/chart" uri="{C3380CC4-5D6E-409C-BE32-E72D297353CC}">
                <c16:uniqueId val="{00000006-D4E3-40AF-8345-71890A74772B}"/>
              </c:ext>
            </c:extLst>
          </c:dPt>
          <c:dLbls>
            <c:delete val="1"/>
          </c:dLbls>
          <c:cat>
            <c:strRef>
              <c:f>SUMEXPEN!$O$1402:$Q$1402</c:f>
              <c:strCache>
                <c:ptCount val="3"/>
                <c:pt idx="0">
                  <c:v>2023-2024</c:v>
                </c:pt>
                <c:pt idx="1">
                  <c:v>2024-2025</c:v>
                </c:pt>
                <c:pt idx="2">
                  <c:v>2025-2026</c:v>
                </c:pt>
              </c:strCache>
            </c:strRef>
          </c:cat>
          <c:val>
            <c:numRef>
              <c:f>SUMEXPEN!$O$1403:$Q$1403</c:f>
              <c:numCache>
                <c:formatCode>#,##0.000</c:formatCode>
                <c:ptCount val="3"/>
                <c:pt idx="0">
                  <c:v>56.031999999999996</c:v>
                </c:pt>
                <c:pt idx="1">
                  <c:v>55.904000000000003</c:v>
                </c:pt>
                <c:pt idx="2">
                  <c:v>59.728000000000002</c:v>
                </c:pt>
              </c:numCache>
            </c:numRef>
          </c:val>
          <c:shape val="pyramid"/>
          <c:extLst>
            <c:ext xmlns:c16="http://schemas.microsoft.com/office/drawing/2014/chart" uri="{C3380CC4-5D6E-409C-BE32-E72D297353CC}">
              <c16:uniqueId val="{00000000-03ED-42F9-B639-8C83BB0EB494}"/>
            </c:ext>
          </c:extLst>
        </c:ser>
        <c:dLbls>
          <c:showLegendKey val="0"/>
          <c:showVal val="1"/>
          <c:showCatName val="0"/>
          <c:showSerName val="0"/>
          <c:showPercent val="0"/>
          <c:showBubbleSize val="0"/>
        </c:dLbls>
        <c:gapWidth val="150"/>
        <c:shape val="box"/>
        <c:axId val="128185088"/>
        <c:axId val="128186624"/>
        <c:axId val="0"/>
      </c:bar3DChart>
      <c:catAx>
        <c:axId val="128185088"/>
        <c:scaling>
          <c:orientation val="minMax"/>
        </c:scaling>
        <c:delete val="0"/>
        <c:axPos val="b"/>
        <c:numFmt formatCode="General" sourceLinked="1"/>
        <c:majorTickMark val="none"/>
        <c:minorTickMark val="none"/>
        <c:tickLblPos val="nextTo"/>
        <c:spPr>
          <a:noFill/>
        </c:spPr>
        <c:txPr>
          <a:bodyPr rot="0" anchor="t" anchorCtr="0"/>
          <a:lstStyle/>
          <a:p>
            <a:pPr>
              <a:defRPr sz="900" b="0" baseline="0">
                <a:solidFill>
                  <a:sysClr val="windowText" lastClr="000000"/>
                </a:solidFill>
                <a:latin typeface="Arial" panose="020B0604020202020204" pitchFamily="34" charset="0"/>
                <a:ea typeface="Open Sans" panose="020B0606030504020204" pitchFamily="34" charset="0"/>
                <a:cs typeface="Arial" panose="020B0604020202020204" pitchFamily="34" charset="0"/>
              </a:defRPr>
            </a:pPr>
            <a:endParaRPr lang="en-US"/>
          </a:p>
        </c:txPr>
        <c:crossAx val="128186624"/>
        <c:crosses val="autoZero"/>
        <c:auto val="1"/>
        <c:lblAlgn val="ctr"/>
        <c:lblOffset val="100"/>
        <c:noMultiLvlLbl val="0"/>
      </c:catAx>
      <c:valAx>
        <c:axId val="128186624"/>
        <c:scaling>
          <c:orientation val="minMax"/>
        </c:scaling>
        <c:delete val="0"/>
        <c:axPos val="l"/>
        <c:majorGridlines>
          <c:spPr>
            <a:ln>
              <a:solidFill>
                <a:srgbClr val="53565A"/>
              </a:solidFill>
            </a:ln>
          </c:spPr>
        </c:majorGridlines>
        <c:numFmt formatCode="#,##0.000" sourceLinked="1"/>
        <c:majorTickMark val="none"/>
        <c:minorTickMark val="none"/>
        <c:tickLblPos val="nextTo"/>
        <c:spPr>
          <a:ln>
            <a:solidFill>
              <a:srgbClr val="53565A"/>
            </a:solidFill>
          </a:ln>
        </c:spPr>
        <c:txPr>
          <a:bodyPr/>
          <a:lstStyle/>
          <a:p>
            <a:pPr>
              <a:defRPr sz="900" baseline="0">
                <a:latin typeface="Arial" panose="020B0604020202020204" pitchFamily="34" charset="0"/>
                <a:ea typeface="Open Sans" panose="020B0606030504020204" pitchFamily="34" charset="0"/>
                <a:cs typeface="Arial" panose="020B0604020202020204" pitchFamily="34" charset="0"/>
              </a:defRPr>
            </a:pPr>
            <a:endParaRPr lang="en-US"/>
          </a:p>
        </c:txPr>
        <c:crossAx val="128185088"/>
        <c:crosses val="autoZero"/>
        <c:crossBetween val="between"/>
      </c:valAx>
      <c:spPr>
        <a:solidFill>
          <a:schemeClr val="bg1"/>
        </a:solidFill>
        <a:ln>
          <a:noFill/>
        </a:ln>
      </c:spPr>
    </c:plotArea>
    <c:plotVisOnly val="1"/>
    <c:dispBlanksAs val="gap"/>
    <c:showDLblsOverMax val="0"/>
  </c:chart>
  <c:spPr>
    <a:ln>
      <a:solidFill>
        <a:srgbClr val="53565A"/>
      </a:solidFill>
    </a:ln>
  </c:spPr>
  <c:printSettings>
    <c:headerFooter/>
    <c:pageMargins b="0.75" l="0.7" r="0.7" t="0.75" header="0.3" footer="0.3"/>
    <c:pageSetup orientation="portrait"/>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34"/>
    </mc:Choice>
    <mc:Fallback>
      <c:style val="34"/>
    </mc:Fallback>
  </mc:AlternateContent>
  <c:clrMapOvr bg1="lt1" tx1="dk1" bg2="lt2" tx2="dk2" accent1="accent1" accent2="accent2" accent3="accent3" accent4="accent4" accent5="accent5" accent6="accent6" hlink="hlink" folHlink="folHlink"/>
  <c:chart>
    <c:title>
      <c:tx>
        <c:rich>
          <a:bodyPr/>
          <a:lstStyle/>
          <a:p>
            <a:pPr>
              <a:defRPr sz="1050" b="0">
                <a:solidFill>
                  <a:srgbClr val="53565A"/>
                </a:solidFill>
                <a:latin typeface="Arial" panose="020B0604020202020204" pitchFamily="34" charset="0"/>
                <a:ea typeface="Open Sans Semibold" panose="020B0706030804020204" pitchFamily="34" charset="0"/>
                <a:cs typeface="Arial" panose="020B0604020202020204" pitchFamily="34" charset="0"/>
              </a:defRPr>
            </a:pPr>
            <a:r>
              <a:rPr lang="en-US" sz="1200">
                <a:solidFill>
                  <a:srgbClr val="53565A"/>
                </a:solidFill>
                <a:latin typeface="Arial" panose="020B0604020202020204" pitchFamily="34" charset="0"/>
                <a:ea typeface="Open Sans Semibold" panose="020B0706030804020204" pitchFamily="34" charset="0"/>
                <a:cs typeface="Arial" panose="020B0604020202020204" pitchFamily="34" charset="0"/>
              </a:rPr>
              <a:t>Amount Per Pupil By Function (All Funds)</a:t>
            </a:r>
          </a:p>
        </c:rich>
      </c:tx>
      <c:layout>
        <c:manualLayout>
          <c:xMode val="edge"/>
          <c:yMode val="edge"/>
          <c:x val="0.1851708120547185"/>
          <c:y val="3.9912836512287574E-2"/>
        </c:manualLayout>
      </c:layout>
      <c:overlay val="0"/>
    </c:title>
    <c:autoTitleDeleted val="0"/>
    <c:view3D>
      <c:rotX val="15"/>
      <c:rotY val="20"/>
      <c:depthPercent val="100"/>
      <c:rAngAx val="1"/>
    </c:view3D>
    <c:floor>
      <c:thickness val="0"/>
      <c:spPr>
        <a:gradFill flip="none" rotWithShape="1">
          <a:gsLst>
            <a:gs pos="0">
              <a:srgbClr val="12284C">
                <a:lumMod val="5000"/>
                <a:lumOff val="95000"/>
              </a:srgbClr>
            </a:gs>
            <a:gs pos="74000">
              <a:srgbClr val="12284C">
                <a:lumMod val="45000"/>
                <a:lumOff val="55000"/>
              </a:srgbClr>
            </a:gs>
            <a:gs pos="83000">
              <a:srgbClr val="12284C">
                <a:lumMod val="45000"/>
                <a:lumOff val="55000"/>
              </a:srgbClr>
            </a:gs>
            <a:gs pos="100000">
              <a:srgbClr val="12284C">
                <a:lumMod val="30000"/>
                <a:lumOff val="70000"/>
              </a:srgbClr>
            </a:gs>
          </a:gsLst>
          <a:path path="circle">
            <a:fillToRect l="100000" t="100000"/>
          </a:path>
          <a:tileRect r="-100000" b="-100000"/>
        </a:gradFill>
        <a:ln>
          <a:solidFill>
            <a:srgbClr val="12284C"/>
          </a:solidFill>
        </a:ln>
      </c:spPr>
    </c:floor>
    <c:sideWall>
      <c:thickness val="0"/>
      <c:spPr>
        <a:gradFill flip="none" rotWithShape="1">
          <a:gsLst>
            <a:gs pos="0">
              <a:srgbClr val="12284C">
                <a:lumMod val="5000"/>
                <a:lumOff val="95000"/>
              </a:srgbClr>
            </a:gs>
            <a:gs pos="74000">
              <a:srgbClr val="12284C">
                <a:lumMod val="45000"/>
                <a:lumOff val="55000"/>
              </a:srgbClr>
            </a:gs>
            <a:gs pos="83000">
              <a:srgbClr val="12284C">
                <a:lumMod val="45000"/>
                <a:lumOff val="55000"/>
              </a:srgbClr>
            </a:gs>
            <a:gs pos="100000">
              <a:srgbClr val="12284C">
                <a:lumMod val="30000"/>
                <a:lumOff val="70000"/>
              </a:srgbClr>
            </a:gs>
          </a:gsLst>
          <a:path path="circle">
            <a:fillToRect l="100000" t="100000"/>
          </a:path>
          <a:tileRect r="-100000" b="-100000"/>
        </a:gradFill>
        <a:ln>
          <a:solidFill>
            <a:srgbClr val="12284C"/>
          </a:solidFill>
        </a:ln>
      </c:spPr>
    </c:sideWall>
    <c:backWall>
      <c:thickness val="0"/>
      <c:spPr>
        <a:gradFill flip="none" rotWithShape="1">
          <a:gsLst>
            <a:gs pos="0">
              <a:srgbClr val="12284C">
                <a:lumMod val="5000"/>
                <a:lumOff val="95000"/>
              </a:srgbClr>
            </a:gs>
            <a:gs pos="74000">
              <a:srgbClr val="12284C">
                <a:lumMod val="45000"/>
                <a:lumOff val="55000"/>
              </a:srgbClr>
            </a:gs>
            <a:gs pos="83000">
              <a:srgbClr val="12284C">
                <a:lumMod val="45000"/>
                <a:lumOff val="55000"/>
              </a:srgbClr>
            </a:gs>
            <a:gs pos="100000">
              <a:srgbClr val="12284C">
                <a:lumMod val="30000"/>
                <a:lumOff val="70000"/>
              </a:srgbClr>
            </a:gs>
          </a:gsLst>
          <a:path path="circle">
            <a:fillToRect l="100000" t="100000"/>
          </a:path>
          <a:tileRect r="-100000" b="-100000"/>
        </a:gradFill>
        <a:ln>
          <a:solidFill>
            <a:srgbClr val="12284C"/>
          </a:solidFill>
        </a:ln>
      </c:spPr>
    </c:backWall>
    <c:plotArea>
      <c:layout>
        <c:manualLayout>
          <c:layoutTarget val="inner"/>
          <c:xMode val="edge"/>
          <c:yMode val="edge"/>
          <c:x val="0.10784827674135906"/>
          <c:y val="0.18235846278690723"/>
          <c:w val="0.8904830890041231"/>
          <c:h val="0.47985238352634441"/>
        </c:manualLayout>
      </c:layout>
      <c:bar3DChart>
        <c:barDir val="col"/>
        <c:grouping val="clustered"/>
        <c:varyColors val="0"/>
        <c:ser>
          <c:idx val="0"/>
          <c:order val="0"/>
          <c:tx>
            <c:strRef>
              <c:f>Extra!$M$64</c:f>
              <c:strCache>
                <c:ptCount val="1"/>
                <c:pt idx="0">
                  <c:v>2023-2024</c:v>
                </c:pt>
              </c:strCache>
            </c:strRef>
          </c:tx>
          <c:spPr>
            <a:solidFill>
              <a:srgbClr val="FFA400"/>
            </a:solidFill>
            <a:ln>
              <a:solidFill>
                <a:srgbClr val="D28700"/>
              </a:solidFill>
            </a:ln>
          </c:spPr>
          <c:invertIfNegative val="0"/>
          <c:dLbls>
            <c:delete val="1"/>
          </c:dLbls>
          <c:cat>
            <c:strRef>
              <c:f>Extra!$L$65:$L$75</c:f>
              <c:strCache>
                <c:ptCount val="11"/>
                <c:pt idx="0">
                  <c:v>Instruction</c:v>
                </c:pt>
                <c:pt idx="1">
                  <c:v>Student Support</c:v>
                </c:pt>
                <c:pt idx="2">
                  <c:v>Instructional Support</c:v>
                </c:pt>
                <c:pt idx="3">
                  <c:v>Administration &amp; Support</c:v>
                </c:pt>
                <c:pt idx="4">
                  <c:v>Operations &amp; Maintenance</c:v>
                </c:pt>
                <c:pt idx="5">
                  <c:v>Transportation</c:v>
                </c:pt>
                <c:pt idx="6">
                  <c:v>Food Services</c:v>
                </c:pt>
                <c:pt idx="7">
                  <c:v>Capital Improvements</c:v>
                </c:pt>
                <c:pt idx="8">
                  <c:v>Debt Services</c:v>
                </c:pt>
                <c:pt idx="9">
                  <c:v>Other Costs</c:v>
                </c:pt>
                <c:pt idx="10">
                  <c:v>Total Expenditures</c:v>
                </c:pt>
              </c:strCache>
            </c:strRef>
          </c:cat>
          <c:val>
            <c:numRef>
              <c:f>Extra!$M$65:$M$75</c:f>
              <c:numCache>
                <c:formatCode>"$"#,##0</c:formatCode>
                <c:ptCount val="11"/>
                <c:pt idx="0">
                  <c:v>13277</c:v>
                </c:pt>
                <c:pt idx="1">
                  <c:v>29</c:v>
                </c:pt>
                <c:pt idx="2">
                  <c:v>18</c:v>
                </c:pt>
                <c:pt idx="3">
                  <c:v>3624</c:v>
                </c:pt>
                <c:pt idx="4">
                  <c:v>5622</c:v>
                </c:pt>
                <c:pt idx="5">
                  <c:v>777</c:v>
                </c:pt>
                <c:pt idx="6">
                  <c:v>1728</c:v>
                </c:pt>
                <c:pt idx="7">
                  <c:v>565</c:v>
                </c:pt>
                <c:pt idx="8">
                  <c:v>2174</c:v>
                </c:pt>
                <c:pt idx="9">
                  <c:v>101</c:v>
                </c:pt>
                <c:pt idx="10">
                  <c:v>27915</c:v>
                </c:pt>
              </c:numCache>
            </c:numRef>
          </c:val>
          <c:extLst>
            <c:ext xmlns:c16="http://schemas.microsoft.com/office/drawing/2014/chart" uri="{C3380CC4-5D6E-409C-BE32-E72D297353CC}">
              <c16:uniqueId val="{00000000-03ED-42F9-B639-8C83BB0EB494}"/>
            </c:ext>
          </c:extLst>
        </c:ser>
        <c:ser>
          <c:idx val="1"/>
          <c:order val="1"/>
          <c:tx>
            <c:strRef>
              <c:f>Extra!$N$64</c:f>
              <c:strCache>
                <c:ptCount val="1"/>
                <c:pt idx="0">
                  <c:v>2024-2025</c:v>
                </c:pt>
              </c:strCache>
            </c:strRef>
          </c:tx>
          <c:spPr>
            <a:solidFill>
              <a:srgbClr val="D50032"/>
            </a:solidFill>
            <a:ln>
              <a:solidFill>
                <a:srgbClr val="B7312C"/>
              </a:solidFill>
            </a:ln>
          </c:spPr>
          <c:invertIfNegative val="0"/>
          <c:dLbls>
            <c:delete val="1"/>
          </c:dLbls>
          <c:cat>
            <c:strRef>
              <c:f>Extra!$L$65:$L$75</c:f>
              <c:strCache>
                <c:ptCount val="11"/>
                <c:pt idx="0">
                  <c:v>Instruction</c:v>
                </c:pt>
                <c:pt idx="1">
                  <c:v>Student Support</c:v>
                </c:pt>
                <c:pt idx="2">
                  <c:v>Instructional Support</c:v>
                </c:pt>
                <c:pt idx="3">
                  <c:v>Administration &amp; Support</c:v>
                </c:pt>
                <c:pt idx="4">
                  <c:v>Operations &amp; Maintenance</c:v>
                </c:pt>
                <c:pt idx="5">
                  <c:v>Transportation</c:v>
                </c:pt>
                <c:pt idx="6">
                  <c:v>Food Services</c:v>
                </c:pt>
                <c:pt idx="7">
                  <c:v>Capital Improvements</c:v>
                </c:pt>
                <c:pt idx="8">
                  <c:v>Debt Services</c:v>
                </c:pt>
                <c:pt idx="9">
                  <c:v>Other Costs</c:v>
                </c:pt>
                <c:pt idx="10">
                  <c:v>Total Expenditures</c:v>
                </c:pt>
              </c:strCache>
            </c:strRef>
          </c:cat>
          <c:val>
            <c:numRef>
              <c:f>Extra!$N$65:$N$75</c:f>
              <c:numCache>
                <c:formatCode>"$"#,##0</c:formatCode>
                <c:ptCount val="11"/>
                <c:pt idx="0">
                  <c:v>23863</c:v>
                </c:pt>
                <c:pt idx="1">
                  <c:v>3</c:v>
                </c:pt>
                <c:pt idx="2">
                  <c:v>3</c:v>
                </c:pt>
                <c:pt idx="3">
                  <c:v>3197</c:v>
                </c:pt>
                <c:pt idx="4">
                  <c:v>8407</c:v>
                </c:pt>
                <c:pt idx="5">
                  <c:v>708</c:v>
                </c:pt>
                <c:pt idx="6">
                  <c:v>1617</c:v>
                </c:pt>
                <c:pt idx="7">
                  <c:v>0</c:v>
                </c:pt>
                <c:pt idx="8">
                  <c:v>1878</c:v>
                </c:pt>
                <c:pt idx="9">
                  <c:v>3</c:v>
                </c:pt>
                <c:pt idx="10">
                  <c:v>39679</c:v>
                </c:pt>
              </c:numCache>
            </c:numRef>
          </c:val>
          <c:extLst>
            <c:ext xmlns:c16="http://schemas.microsoft.com/office/drawing/2014/chart" uri="{C3380CC4-5D6E-409C-BE32-E72D297353CC}">
              <c16:uniqueId val="{00000001-03ED-42F9-B639-8C83BB0EB494}"/>
            </c:ext>
          </c:extLst>
        </c:ser>
        <c:ser>
          <c:idx val="2"/>
          <c:order val="2"/>
          <c:tx>
            <c:strRef>
              <c:f>Extra!$O$64</c:f>
              <c:strCache>
                <c:ptCount val="1"/>
                <c:pt idx="0">
                  <c:v>2025-2026</c:v>
                </c:pt>
              </c:strCache>
            </c:strRef>
          </c:tx>
          <c:spPr>
            <a:solidFill>
              <a:srgbClr val="00B796"/>
            </a:solidFill>
            <a:ln>
              <a:solidFill>
                <a:srgbClr val="008269"/>
              </a:solidFill>
            </a:ln>
          </c:spPr>
          <c:invertIfNegative val="0"/>
          <c:dLbls>
            <c:delete val="1"/>
          </c:dLbls>
          <c:cat>
            <c:strRef>
              <c:f>Extra!$L$65:$L$75</c:f>
              <c:strCache>
                <c:ptCount val="11"/>
                <c:pt idx="0">
                  <c:v>Instruction</c:v>
                </c:pt>
                <c:pt idx="1">
                  <c:v>Student Support</c:v>
                </c:pt>
                <c:pt idx="2">
                  <c:v>Instructional Support</c:v>
                </c:pt>
                <c:pt idx="3">
                  <c:v>Administration &amp; Support</c:v>
                </c:pt>
                <c:pt idx="4">
                  <c:v>Operations &amp; Maintenance</c:v>
                </c:pt>
                <c:pt idx="5">
                  <c:v>Transportation</c:v>
                </c:pt>
                <c:pt idx="6">
                  <c:v>Food Services</c:v>
                </c:pt>
                <c:pt idx="7">
                  <c:v>Capital Improvements</c:v>
                </c:pt>
                <c:pt idx="8">
                  <c:v>Debt Services</c:v>
                </c:pt>
                <c:pt idx="9">
                  <c:v>Other Costs</c:v>
                </c:pt>
                <c:pt idx="10">
                  <c:v>Total Expenditures</c:v>
                </c:pt>
              </c:strCache>
            </c:strRef>
          </c:cat>
          <c:val>
            <c:numRef>
              <c:f>Extra!$O$65:$O$75</c:f>
              <c:numCache>
                <c:formatCode>"$"#,##0</c:formatCode>
                <c:ptCount val="11"/>
                <c:pt idx="0">
                  <c:v>20183</c:v>
                </c:pt>
                <c:pt idx="1">
                  <c:v>0</c:v>
                </c:pt>
                <c:pt idx="2">
                  <c:v>1</c:v>
                </c:pt>
                <c:pt idx="3">
                  <c:v>3813</c:v>
                </c:pt>
                <c:pt idx="4">
                  <c:v>8924</c:v>
                </c:pt>
                <c:pt idx="5">
                  <c:v>2736</c:v>
                </c:pt>
                <c:pt idx="6">
                  <c:v>1850</c:v>
                </c:pt>
                <c:pt idx="7">
                  <c:v>357</c:v>
                </c:pt>
                <c:pt idx="8">
                  <c:v>2213</c:v>
                </c:pt>
                <c:pt idx="9">
                  <c:v>0</c:v>
                </c:pt>
                <c:pt idx="10">
                  <c:v>40077</c:v>
                </c:pt>
              </c:numCache>
            </c:numRef>
          </c:val>
          <c:extLst>
            <c:ext xmlns:c16="http://schemas.microsoft.com/office/drawing/2014/chart" uri="{C3380CC4-5D6E-409C-BE32-E72D297353CC}">
              <c16:uniqueId val="{00000002-03ED-42F9-B639-8C83BB0EB494}"/>
            </c:ext>
          </c:extLst>
        </c:ser>
        <c:dLbls>
          <c:showLegendKey val="0"/>
          <c:showVal val="1"/>
          <c:showCatName val="0"/>
          <c:showSerName val="0"/>
          <c:showPercent val="0"/>
          <c:showBubbleSize val="0"/>
        </c:dLbls>
        <c:gapWidth val="150"/>
        <c:shape val="box"/>
        <c:axId val="128185088"/>
        <c:axId val="128186624"/>
        <c:axId val="0"/>
      </c:bar3DChart>
      <c:catAx>
        <c:axId val="128185088"/>
        <c:scaling>
          <c:orientation val="minMax"/>
        </c:scaling>
        <c:delete val="0"/>
        <c:axPos val="b"/>
        <c:numFmt formatCode="General" sourceLinked="1"/>
        <c:majorTickMark val="none"/>
        <c:minorTickMark val="none"/>
        <c:tickLblPos val="nextTo"/>
        <c:spPr>
          <a:noFill/>
        </c:spPr>
        <c:txPr>
          <a:bodyPr rot="-1860000" anchor="t" anchorCtr="0"/>
          <a:lstStyle/>
          <a:p>
            <a:pPr>
              <a:defRPr sz="900" b="0" baseline="0">
                <a:solidFill>
                  <a:sysClr val="windowText" lastClr="000000"/>
                </a:solidFill>
                <a:latin typeface="Arial" panose="020B0604020202020204" pitchFamily="34" charset="0"/>
                <a:ea typeface="Open Sans" panose="020B0606030504020204" pitchFamily="34" charset="0"/>
                <a:cs typeface="Arial" panose="020B0604020202020204" pitchFamily="34" charset="0"/>
              </a:defRPr>
            </a:pPr>
            <a:endParaRPr lang="en-US"/>
          </a:p>
        </c:txPr>
        <c:crossAx val="128186624"/>
        <c:crosses val="autoZero"/>
        <c:auto val="1"/>
        <c:lblAlgn val="ctr"/>
        <c:lblOffset val="100"/>
        <c:noMultiLvlLbl val="0"/>
      </c:catAx>
      <c:valAx>
        <c:axId val="128186624"/>
        <c:scaling>
          <c:orientation val="minMax"/>
        </c:scaling>
        <c:delete val="0"/>
        <c:axPos val="l"/>
        <c:majorGridlines>
          <c:spPr>
            <a:ln>
              <a:solidFill>
                <a:srgbClr val="53565A"/>
              </a:solidFill>
            </a:ln>
          </c:spPr>
        </c:majorGridlines>
        <c:numFmt formatCode="&quot;$&quot;#,##0" sourceLinked="1"/>
        <c:majorTickMark val="none"/>
        <c:minorTickMark val="none"/>
        <c:tickLblPos val="nextTo"/>
        <c:spPr>
          <a:ln>
            <a:solidFill>
              <a:srgbClr val="53565A"/>
            </a:solidFill>
          </a:ln>
        </c:spPr>
        <c:txPr>
          <a:bodyPr/>
          <a:lstStyle/>
          <a:p>
            <a:pPr>
              <a:defRPr sz="900" baseline="0">
                <a:latin typeface="Arial" panose="020B0604020202020204" pitchFamily="34" charset="0"/>
                <a:ea typeface="Open Sans" panose="020B0606030504020204" pitchFamily="34" charset="0"/>
                <a:cs typeface="Arial" panose="020B0604020202020204" pitchFamily="34" charset="0"/>
              </a:defRPr>
            </a:pPr>
            <a:endParaRPr lang="en-US"/>
          </a:p>
        </c:txPr>
        <c:crossAx val="128185088"/>
        <c:crosses val="autoZero"/>
        <c:crossBetween val="between"/>
      </c:valAx>
      <c:spPr>
        <a:solidFill>
          <a:schemeClr val="bg1"/>
        </a:solidFill>
        <a:ln>
          <a:noFill/>
        </a:ln>
      </c:spPr>
    </c:plotArea>
    <c:legend>
      <c:legendPos val="b"/>
      <c:layout>
        <c:manualLayout>
          <c:xMode val="edge"/>
          <c:yMode val="edge"/>
          <c:x val="0.21712089535532447"/>
          <c:y val="0.94189028216016657"/>
          <c:w val="0.54900130382798529"/>
          <c:h val="5.8109717839833402E-2"/>
        </c:manualLayout>
      </c:layout>
      <c:overlay val="0"/>
      <c:txPr>
        <a:bodyPr/>
        <a:lstStyle/>
        <a:p>
          <a:pPr>
            <a:defRPr sz="900">
              <a:latin typeface="Arial" panose="020B0604020202020204" pitchFamily="34" charset="0"/>
              <a:cs typeface="Arial" panose="020B0604020202020204" pitchFamily="34" charset="0"/>
            </a:defRPr>
          </a:pPr>
          <a:endParaRPr lang="en-US"/>
        </a:p>
      </c:txPr>
    </c:legend>
    <c:plotVisOnly val="1"/>
    <c:dispBlanksAs val="gap"/>
    <c:showDLblsOverMax val="0"/>
  </c:chart>
  <c:spPr>
    <a:ln>
      <a:solidFill>
        <a:srgbClr val="53565A"/>
      </a:solidFill>
    </a:ln>
  </c:spPr>
  <c:printSettings>
    <c:headerFooter/>
    <c:pageMargins b="0.75" l="0.7" r="0.7" t="0.75" header="0.3" footer="0.3"/>
    <c:pageSetup orientation="portrait"/>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34"/>
    </mc:Choice>
    <mc:Fallback>
      <c:style val="34"/>
    </mc:Fallback>
  </mc:AlternateContent>
  <c:clrMapOvr bg1="lt1" tx1="dk1" bg2="lt2" tx2="dk2" accent1="accent1" accent2="accent2" accent3="accent3" accent4="accent4" accent5="accent5" accent6="accent6" hlink="hlink" folHlink="folHlink"/>
  <c:chart>
    <c:title>
      <c:tx>
        <c:rich>
          <a:bodyPr/>
          <a:lstStyle/>
          <a:p>
            <a:pPr>
              <a:defRPr sz="1200" b="0">
                <a:solidFill>
                  <a:srgbClr val="00B796"/>
                </a:solidFill>
                <a:latin typeface="Arial" panose="020B0604020202020204" pitchFamily="34" charset="0"/>
                <a:ea typeface="Open Sans Semibold" panose="020B0706030804020204" pitchFamily="34" charset="0"/>
                <a:cs typeface="Arial" panose="020B0604020202020204" pitchFamily="34" charset="0"/>
              </a:defRPr>
            </a:pPr>
            <a:r>
              <a:rPr lang="en-US" sz="1200">
                <a:solidFill>
                  <a:srgbClr val="00B796"/>
                </a:solidFill>
                <a:latin typeface="Arial" panose="020B0604020202020204" pitchFamily="34" charset="0"/>
                <a:ea typeface="Open Sans Semibold" panose="020B0706030804020204" pitchFamily="34" charset="0"/>
                <a:cs typeface="Arial" panose="020B0604020202020204" pitchFamily="34" charset="0"/>
              </a:rPr>
              <a:t>Average Salary</a:t>
            </a:r>
          </a:p>
        </c:rich>
      </c:tx>
      <c:layout>
        <c:manualLayout>
          <c:xMode val="edge"/>
          <c:yMode val="edge"/>
          <c:x val="0.38296456046439059"/>
          <c:y val="6.9032460773420521E-3"/>
        </c:manualLayout>
      </c:layout>
      <c:overlay val="0"/>
    </c:title>
    <c:autoTitleDeleted val="0"/>
    <c:view3D>
      <c:rotX val="15"/>
      <c:rotY val="20"/>
      <c:depthPercent val="100"/>
      <c:rAngAx val="1"/>
    </c:view3D>
    <c:floor>
      <c:thickness val="0"/>
      <c:spPr>
        <a:gradFill flip="none" rotWithShape="1">
          <a:gsLst>
            <a:gs pos="0">
              <a:srgbClr val="12284C">
                <a:lumMod val="5000"/>
                <a:lumOff val="95000"/>
              </a:srgbClr>
            </a:gs>
            <a:gs pos="74000">
              <a:srgbClr val="12284C">
                <a:lumMod val="45000"/>
                <a:lumOff val="55000"/>
              </a:srgbClr>
            </a:gs>
            <a:gs pos="83000">
              <a:srgbClr val="12284C">
                <a:lumMod val="45000"/>
                <a:lumOff val="55000"/>
              </a:srgbClr>
            </a:gs>
            <a:gs pos="100000">
              <a:srgbClr val="12284C">
                <a:lumMod val="30000"/>
                <a:lumOff val="70000"/>
              </a:srgbClr>
            </a:gs>
          </a:gsLst>
          <a:path path="circle">
            <a:fillToRect l="100000" t="100000"/>
          </a:path>
          <a:tileRect r="-100000" b="-100000"/>
        </a:gradFill>
        <a:ln>
          <a:solidFill>
            <a:srgbClr val="12284C"/>
          </a:solidFill>
        </a:ln>
      </c:spPr>
    </c:floor>
    <c:sideWall>
      <c:thickness val="0"/>
      <c:spPr>
        <a:gradFill flip="none" rotWithShape="1">
          <a:gsLst>
            <a:gs pos="0">
              <a:srgbClr val="12284C">
                <a:lumMod val="5000"/>
                <a:lumOff val="95000"/>
              </a:srgbClr>
            </a:gs>
            <a:gs pos="74000">
              <a:srgbClr val="12284C">
                <a:lumMod val="45000"/>
                <a:lumOff val="55000"/>
              </a:srgbClr>
            </a:gs>
            <a:gs pos="83000">
              <a:srgbClr val="12284C">
                <a:lumMod val="45000"/>
                <a:lumOff val="55000"/>
              </a:srgbClr>
            </a:gs>
            <a:gs pos="100000">
              <a:srgbClr val="12284C">
                <a:lumMod val="30000"/>
                <a:lumOff val="70000"/>
              </a:srgbClr>
            </a:gs>
          </a:gsLst>
          <a:path path="circle">
            <a:fillToRect l="100000" t="100000"/>
          </a:path>
          <a:tileRect r="-100000" b="-100000"/>
        </a:gradFill>
        <a:ln>
          <a:solidFill>
            <a:srgbClr val="12284C"/>
          </a:solidFill>
        </a:ln>
      </c:spPr>
    </c:sideWall>
    <c:backWall>
      <c:thickness val="0"/>
      <c:spPr>
        <a:gradFill flip="none" rotWithShape="1">
          <a:gsLst>
            <a:gs pos="0">
              <a:srgbClr val="12284C">
                <a:lumMod val="5000"/>
                <a:lumOff val="95000"/>
              </a:srgbClr>
            </a:gs>
            <a:gs pos="74000">
              <a:srgbClr val="12284C">
                <a:lumMod val="45000"/>
                <a:lumOff val="55000"/>
              </a:srgbClr>
            </a:gs>
            <a:gs pos="83000">
              <a:srgbClr val="12284C">
                <a:lumMod val="45000"/>
                <a:lumOff val="55000"/>
              </a:srgbClr>
            </a:gs>
            <a:gs pos="100000">
              <a:srgbClr val="12284C">
                <a:lumMod val="30000"/>
                <a:lumOff val="70000"/>
              </a:srgbClr>
            </a:gs>
          </a:gsLst>
          <a:path path="circle">
            <a:fillToRect l="100000" t="100000"/>
          </a:path>
          <a:tileRect r="-100000" b="-100000"/>
        </a:gradFill>
        <a:ln>
          <a:solidFill>
            <a:srgbClr val="12284C"/>
          </a:solidFill>
        </a:ln>
      </c:spPr>
    </c:backWall>
    <c:plotArea>
      <c:layout>
        <c:manualLayout>
          <c:layoutTarget val="inner"/>
          <c:xMode val="edge"/>
          <c:yMode val="edge"/>
          <c:x val="0.12218887085451333"/>
          <c:y val="0.10937523099895034"/>
          <c:w val="0.83965092165769695"/>
          <c:h val="0.64874262651350501"/>
        </c:manualLayout>
      </c:layout>
      <c:bar3DChart>
        <c:barDir val="col"/>
        <c:grouping val="clustered"/>
        <c:varyColors val="0"/>
        <c:ser>
          <c:idx val="0"/>
          <c:order val="0"/>
          <c:tx>
            <c:strRef>
              <c:f>[1]Salaries!$S$5</c:f>
              <c:strCache>
                <c:ptCount val="1"/>
                <c:pt idx="0">
                  <c:v>2023-2024</c:v>
                </c:pt>
              </c:strCache>
            </c:strRef>
          </c:tx>
          <c:spPr>
            <a:solidFill>
              <a:srgbClr val="FFA400"/>
            </a:solidFill>
            <a:ln>
              <a:solidFill>
                <a:srgbClr val="D28700"/>
              </a:solidFill>
            </a:ln>
          </c:spPr>
          <c:invertIfNegative val="0"/>
          <c:dLbls>
            <c:delete val="1"/>
          </c:dLbls>
          <c:cat>
            <c:strRef>
              <c:f>[1]Salaries!$R$6:$R$9</c:f>
              <c:strCache>
                <c:ptCount val="4"/>
                <c:pt idx="0">
                  <c:v>Administrators (Licensed/Non-Licensed)</c:v>
                </c:pt>
                <c:pt idx="1">
                  <c:v>Teachers (Full Time)</c:v>
                </c:pt>
                <c:pt idx="2">
                  <c:v>Other Licensed Personnel</c:v>
                </c:pt>
                <c:pt idx="3">
                  <c:v>Classified Personnel</c:v>
                </c:pt>
              </c:strCache>
            </c:strRef>
          </c:cat>
          <c:val>
            <c:numRef>
              <c:f>[1]Salaries!$S$6:$S$9</c:f>
              <c:numCache>
                <c:formatCode>#,##0</c:formatCode>
                <c:ptCount val="4"/>
                <c:pt idx="0">
                  <c:v>76905</c:v>
                </c:pt>
                <c:pt idx="1">
                  <c:v>58266</c:v>
                </c:pt>
                <c:pt idx="2">
                  <c:v>20873</c:v>
                </c:pt>
                <c:pt idx="3">
                  <c:v>25116</c:v>
                </c:pt>
              </c:numCache>
            </c:numRef>
          </c:val>
          <c:extLst>
            <c:ext xmlns:c16="http://schemas.microsoft.com/office/drawing/2014/chart" uri="{C3380CC4-5D6E-409C-BE32-E72D297353CC}">
              <c16:uniqueId val="{00000000-03ED-42F9-B639-8C83BB0EB494}"/>
            </c:ext>
          </c:extLst>
        </c:ser>
        <c:ser>
          <c:idx val="1"/>
          <c:order val="1"/>
          <c:tx>
            <c:strRef>
              <c:f>[1]Salaries!$T$5</c:f>
              <c:strCache>
                <c:ptCount val="1"/>
                <c:pt idx="0">
                  <c:v>2024-2025</c:v>
                </c:pt>
              </c:strCache>
            </c:strRef>
          </c:tx>
          <c:spPr>
            <a:solidFill>
              <a:srgbClr val="D50032"/>
            </a:solidFill>
            <a:ln>
              <a:solidFill>
                <a:srgbClr val="B7312C"/>
              </a:solidFill>
            </a:ln>
          </c:spPr>
          <c:invertIfNegative val="0"/>
          <c:dLbls>
            <c:delete val="1"/>
          </c:dLbls>
          <c:cat>
            <c:strRef>
              <c:f>[1]Salaries!$R$6:$R$9</c:f>
              <c:strCache>
                <c:ptCount val="4"/>
                <c:pt idx="0">
                  <c:v>Administrators (Licensed/Non-Licensed)</c:v>
                </c:pt>
                <c:pt idx="1">
                  <c:v>Teachers (Full Time)</c:v>
                </c:pt>
                <c:pt idx="2">
                  <c:v>Other Licensed Personnel</c:v>
                </c:pt>
                <c:pt idx="3">
                  <c:v>Classified Personnel</c:v>
                </c:pt>
              </c:strCache>
            </c:strRef>
          </c:cat>
          <c:val>
            <c:numRef>
              <c:f>[1]Salaries!$T$6:$T$9</c:f>
              <c:numCache>
                <c:formatCode>#,##0</c:formatCode>
                <c:ptCount val="4"/>
                <c:pt idx="0">
                  <c:v>74000</c:v>
                </c:pt>
                <c:pt idx="1">
                  <c:v>59265</c:v>
                </c:pt>
                <c:pt idx="2">
                  <c:v>26000</c:v>
                </c:pt>
                <c:pt idx="3">
                  <c:v>32411</c:v>
                </c:pt>
              </c:numCache>
            </c:numRef>
          </c:val>
          <c:extLst>
            <c:ext xmlns:c16="http://schemas.microsoft.com/office/drawing/2014/chart" uri="{C3380CC4-5D6E-409C-BE32-E72D297353CC}">
              <c16:uniqueId val="{00000001-03ED-42F9-B639-8C83BB0EB494}"/>
            </c:ext>
          </c:extLst>
        </c:ser>
        <c:ser>
          <c:idx val="2"/>
          <c:order val="2"/>
          <c:tx>
            <c:strRef>
              <c:f>[1]Salaries!$U$5</c:f>
              <c:strCache>
                <c:ptCount val="1"/>
                <c:pt idx="0">
                  <c:v>2025-2026</c:v>
                </c:pt>
              </c:strCache>
            </c:strRef>
          </c:tx>
          <c:spPr>
            <a:solidFill>
              <a:srgbClr val="00B796"/>
            </a:solidFill>
            <a:ln>
              <a:solidFill>
                <a:srgbClr val="008269"/>
              </a:solidFill>
            </a:ln>
          </c:spPr>
          <c:invertIfNegative val="0"/>
          <c:dLbls>
            <c:delete val="1"/>
          </c:dLbls>
          <c:cat>
            <c:strRef>
              <c:f>[1]Salaries!$R$6:$R$9</c:f>
              <c:strCache>
                <c:ptCount val="4"/>
                <c:pt idx="0">
                  <c:v>Administrators (Licensed/Non-Licensed)</c:v>
                </c:pt>
                <c:pt idx="1">
                  <c:v>Teachers (Full Time)</c:v>
                </c:pt>
                <c:pt idx="2">
                  <c:v>Other Licensed Personnel</c:v>
                </c:pt>
                <c:pt idx="3">
                  <c:v>Classified Personnel</c:v>
                </c:pt>
              </c:strCache>
            </c:strRef>
          </c:cat>
          <c:val>
            <c:numRef>
              <c:f>[1]Salaries!$U$6:$U$9</c:f>
              <c:numCache>
                <c:formatCode>#,##0</c:formatCode>
                <c:ptCount val="4"/>
                <c:pt idx="0">
                  <c:v>90000</c:v>
                </c:pt>
                <c:pt idx="1">
                  <c:v>57858</c:v>
                </c:pt>
                <c:pt idx="2">
                  <c:v>7200</c:v>
                </c:pt>
                <c:pt idx="3">
                  <c:v>29145</c:v>
                </c:pt>
              </c:numCache>
            </c:numRef>
          </c:val>
          <c:extLst>
            <c:ext xmlns:c16="http://schemas.microsoft.com/office/drawing/2014/chart" uri="{C3380CC4-5D6E-409C-BE32-E72D297353CC}">
              <c16:uniqueId val="{00000002-03ED-42F9-B639-8C83BB0EB494}"/>
            </c:ext>
          </c:extLst>
        </c:ser>
        <c:dLbls>
          <c:showLegendKey val="0"/>
          <c:showVal val="1"/>
          <c:showCatName val="0"/>
          <c:showSerName val="0"/>
          <c:showPercent val="0"/>
          <c:showBubbleSize val="0"/>
        </c:dLbls>
        <c:gapWidth val="150"/>
        <c:shape val="box"/>
        <c:axId val="128185088"/>
        <c:axId val="128186624"/>
        <c:axId val="0"/>
      </c:bar3DChart>
      <c:catAx>
        <c:axId val="128185088"/>
        <c:scaling>
          <c:orientation val="minMax"/>
        </c:scaling>
        <c:delete val="0"/>
        <c:axPos val="b"/>
        <c:numFmt formatCode="General" sourceLinked="1"/>
        <c:majorTickMark val="none"/>
        <c:minorTickMark val="none"/>
        <c:tickLblPos val="nextTo"/>
        <c:spPr>
          <a:noFill/>
        </c:spPr>
        <c:txPr>
          <a:bodyPr rot="0" anchor="t" anchorCtr="0"/>
          <a:lstStyle/>
          <a:p>
            <a:pPr>
              <a:defRPr sz="900" b="0" baseline="0">
                <a:solidFill>
                  <a:sysClr val="windowText" lastClr="000000"/>
                </a:solidFill>
                <a:latin typeface="Arial" panose="020B0604020202020204" pitchFamily="34" charset="0"/>
                <a:ea typeface="Open Sans" panose="020B0606030504020204" pitchFamily="34" charset="0"/>
                <a:cs typeface="Arial" panose="020B0604020202020204" pitchFamily="34" charset="0"/>
              </a:defRPr>
            </a:pPr>
            <a:endParaRPr lang="en-US"/>
          </a:p>
        </c:txPr>
        <c:crossAx val="128186624"/>
        <c:crosses val="autoZero"/>
        <c:auto val="1"/>
        <c:lblAlgn val="ctr"/>
        <c:lblOffset val="100"/>
        <c:tickLblSkip val="1"/>
        <c:noMultiLvlLbl val="0"/>
      </c:catAx>
      <c:valAx>
        <c:axId val="128186624"/>
        <c:scaling>
          <c:orientation val="minMax"/>
        </c:scaling>
        <c:delete val="0"/>
        <c:axPos val="l"/>
        <c:majorGridlines>
          <c:spPr>
            <a:ln>
              <a:solidFill>
                <a:srgbClr val="53565A"/>
              </a:solidFill>
            </a:ln>
          </c:spPr>
        </c:majorGridlines>
        <c:numFmt formatCode="&quot;$&quot;#,##0" sourceLinked="0"/>
        <c:majorTickMark val="none"/>
        <c:minorTickMark val="none"/>
        <c:tickLblPos val="nextTo"/>
        <c:spPr>
          <a:ln>
            <a:solidFill>
              <a:srgbClr val="53565A"/>
            </a:solidFill>
          </a:ln>
        </c:spPr>
        <c:txPr>
          <a:bodyPr/>
          <a:lstStyle/>
          <a:p>
            <a:pPr>
              <a:defRPr sz="900" baseline="0">
                <a:latin typeface="Arial" panose="020B0604020202020204" pitchFamily="34" charset="0"/>
                <a:ea typeface="Open Sans" panose="020B0606030504020204" pitchFamily="34" charset="0"/>
                <a:cs typeface="Arial" panose="020B0604020202020204" pitchFamily="34" charset="0"/>
              </a:defRPr>
            </a:pPr>
            <a:endParaRPr lang="en-US"/>
          </a:p>
        </c:txPr>
        <c:crossAx val="128185088"/>
        <c:crosses val="autoZero"/>
        <c:crossBetween val="between"/>
      </c:valAx>
      <c:spPr>
        <a:solidFill>
          <a:schemeClr val="bg1"/>
        </a:solidFill>
        <a:ln>
          <a:noFill/>
        </a:ln>
      </c:spPr>
    </c:plotArea>
    <c:legend>
      <c:legendPos val="b"/>
      <c:layout>
        <c:manualLayout>
          <c:xMode val="edge"/>
          <c:yMode val="edge"/>
          <c:x val="0.23818819588162762"/>
          <c:y val="0.92513453378867849"/>
          <c:w val="0.5236236082367447"/>
          <c:h val="7.4865466211321535E-2"/>
        </c:manualLayout>
      </c:layout>
      <c:overlay val="0"/>
      <c:txPr>
        <a:bodyPr/>
        <a:lstStyle/>
        <a:p>
          <a:pPr>
            <a:defRPr sz="900">
              <a:latin typeface="Arial" panose="020B0604020202020204" pitchFamily="34" charset="0"/>
              <a:cs typeface="Arial" panose="020B0604020202020204" pitchFamily="34" charset="0"/>
            </a:defRPr>
          </a:pPr>
          <a:endParaRPr lang="en-US"/>
        </a:p>
      </c:txPr>
    </c:legend>
    <c:plotVisOnly val="1"/>
    <c:dispBlanksAs val="gap"/>
    <c:showDLblsOverMax val="0"/>
  </c:chart>
  <c:spPr>
    <a:ln>
      <a:solidFill>
        <a:srgbClr val="53565A"/>
      </a:solidFill>
    </a:ln>
  </c:sp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34"/>
    </mc:Choice>
    <mc:Fallback>
      <c:style val="34"/>
    </mc:Fallback>
  </mc:AlternateContent>
  <c:clrMapOvr bg1="lt1" tx1="dk1" bg2="lt2" tx2="dk2" accent1="accent1" accent2="accent2" accent3="accent3" accent4="accent4" accent5="accent5" accent6="accent6" hlink="hlink" folHlink="folHlink"/>
  <c:chart>
    <c:title>
      <c:tx>
        <c:rich>
          <a:bodyPr/>
          <a:lstStyle/>
          <a:p>
            <a:pPr>
              <a:defRPr sz="1400" b="0">
                <a:solidFill>
                  <a:srgbClr val="53565A"/>
                </a:solidFill>
                <a:latin typeface="Open Sans Semibold" panose="020B0706030804020204" pitchFamily="34" charset="0"/>
                <a:ea typeface="Open Sans Semibold" panose="020B0706030804020204" pitchFamily="34" charset="0"/>
                <a:cs typeface="Open Sans Semibold" panose="020B0706030804020204" pitchFamily="34" charset="0"/>
              </a:defRPr>
            </a:pPr>
            <a:r>
              <a:rPr lang="en-US">
                <a:latin typeface="Arial" panose="020B0604020202020204" pitchFamily="34" charset="0"/>
                <a:cs typeface="Arial" panose="020B0604020202020204" pitchFamily="34" charset="0"/>
              </a:rPr>
              <a:t>Student Support Expenditures (2100)</a:t>
            </a:r>
          </a:p>
        </c:rich>
      </c:tx>
      <c:layout>
        <c:manualLayout>
          <c:xMode val="edge"/>
          <c:yMode val="edge"/>
          <c:x val="0.34079309687107945"/>
          <c:y val="4.3923768154309505E-2"/>
        </c:manualLayout>
      </c:layout>
      <c:overlay val="0"/>
    </c:title>
    <c:autoTitleDeleted val="0"/>
    <c:view3D>
      <c:rotX val="15"/>
      <c:rotY val="20"/>
      <c:depthPercent val="100"/>
      <c:rAngAx val="1"/>
    </c:view3D>
    <c:floor>
      <c:thickness val="0"/>
      <c:spPr>
        <a:gradFill flip="none" rotWithShape="1">
          <a:gsLst>
            <a:gs pos="0">
              <a:srgbClr val="12284C">
                <a:lumMod val="5000"/>
                <a:lumOff val="95000"/>
              </a:srgbClr>
            </a:gs>
            <a:gs pos="74000">
              <a:srgbClr val="12284C">
                <a:lumMod val="45000"/>
                <a:lumOff val="55000"/>
              </a:srgbClr>
            </a:gs>
            <a:gs pos="83000">
              <a:srgbClr val="12284C">
                <a:lumMod val="45000"/>
                <a:lumOff val="55000"/>
              </a:srgbClr>
            </a:gs>
            <a:gs pos="100000">
              <a:srgbClr val="12284C">
                <a:lumMod val="30000"/>
                <a:lumOff val="70000"/>
              </a:srgbClr>
            </a:gs>
          </a:gsLst>
          <a:path path="circle">
            <a:fillToRect l="100000" t="100000"/>
          </a:path>
          <a:tileRect r="-100000" b="-100000"/>
        </a:gradFill>
        <a:ln>
          <a:solidFill>
            <a:srgbClr val="12284C"/>
          </a:solidFill>
        </a:ln>
      </c:spPr>
    </c:floor>
    <c:sideWall>
      <c:thickness val="0"/>
      <c:spPr>
        <a:gradFill flip="none" rotWithShape="1">
          <a:gsLst>
            <a:gs pos="0">
              <a:srgbClr val="12284C">
                <a:lumMod val="5000"/>
                <a:lumOff val="95000"/>
              </a:srgbClr>
            </a:gs>
            <a:gs pos="74000">
              <a:srgbClr val="12284C">
                <a:lumMod val="45000"/>
                <a:lumOff val="55000"/>
              </a:srgbClr>
            </a:gs>
            <a:gs pos="83000">
              <a:srgbClr val="12284C">
                <a:lumMod val="45000"/>
                <a:lumOff val="55000"/>
              </a:srgbClr>
            </a:gs>
            <a:gs pos="100000">
              <a:srgbClr val="12284C">
                <a:lumMod val="30000"/>
                <a:lumOff val="70000"/>
              </a:srgbClr>
            </a:gs>
          </a:gsLst>
          <a:path path="circle">
            <a:fillToRect l="100000" t="100000"/>
          </a:path>
          <a:tileRect r="-100000" b="-100000"/>
        </a:gradFill>
        <a:ln>
          <a:solidFill>
            <a:srgbClr val="12284C"/>
          </a:solidFill>
        </a:ln>
      </c:spPr>
    </c:sideWall>
    <c:backWall>
      <c:thickness val="0"/>
      <c:spPr>
        <a:gradFill flip="none" rotWithShape="1">
          <a:gsLst>
            <a:gs pos="0">
              <a:srgbClr val="12284C">
                <a:lumMod val="5000"/>
                <a:lumOff val="95000"/>
              </a:srgbClr>
            </a:gs>
            <a:gs pos="74000">
              <a:srgbClr val="12284C">
                <a:lumMod val="45000"/>
                <a:lumOff val="55000"/>
              </a:srgbClr>
            </a:gs>
            <a:gs pos="83000">
              <a:srgbClr val="12284C">
                <a:lumMod val="45000"/>
                <a:lumOff val="55000"/>
              </a:srgbClr>
            </a:gs>
            <a:gs pos="100000">
              <a:srgbClr val="12284C">
                <a:lumMod val="30000"/>
                <a:lumOff val="70000"/>
              </a:srgbClr>
            </a:gs>
          </a:gsLst>
          <a:path path="circle">
            <a:fillToRect l="100000" t="100000"/>
          </a:path>
          <a:tileRect r="-100000" b="-100000"/>
        </a:gradFill>
        <a:ln>
          <a:solidFill>
            <a:srgbClr val="12284C"/>
          </a:solidFill>
        </a:ln>
      </c:spPr>
    </c:backWall>
    <c:plotArea>
      <c:layout>
        <c:manualLayout>
          <c:layoutTarget val="inner"/>
          <c:xMode val="edge"/>
          <c:yMode val="edge"/>
          <c:x val="3.0575644109563874E-2"/>
          <c:y val="0.16386807517302321"/>
          <c:w val="0.96942435589043607"/>
          <c:h val="0.72190394631117549"/>
        </c:manualLayout>
      </c:layout>
      <c:bar3DChart>
        <c:barDir val="col"/>
        <c:grouping val="clustered"/>
        <c:varyColors val="0"/>
        <c:ser>
          <c:idx val="0"/>
          <c:order val="0"/>
          <c:tx>
            <c:v>Student Support Expenditures</c:v>
          </c:tx>
          <c:spPr>
            <a:solidFill>
              <a:srgbClr val="FFA400"/>
            </a:solidFill>
            <a:ln>
              <a:solidFill>
                <a:srgbClr val="D28700"/>
              </a:solidFill>
            </a:ln>
          </c:spPr>
          <c:invertIfNegative val="0"/>
          <c:dPt>
            <c:idx val="1"/>
            <c:invertIfNegative val="0"/>
            <c:bubble3D val="0"/>
            <c:spPr>
              <a:solidFill>
                <a:srgbClr val="00B796"/>
              </a:solidFill>
              <a:ln>
                <a:solidFill>
                  <a:srgbClr val="008269"/>
                </a:solidFill>
              </a:ln>
            </c:spPr>
            <c:extLst>
              <c:ext xmlns:c16="http://schemas.microsoft.com/office/drawing/2014/chart" uri="{C3380CC4-5D6E-409C-BE32-E72D297353CC}">
                <c16:uniqueId val="{00000003-EA90-4AD3-ABE4-5B34F4836766}"/>
              </c:ext>
            </c:extLst>
          </c:dPt>
          <c:dPt>
            <c:idx val="2"/>
            <c:invertIfNegative val="0"/>
            <c:bubble3D val="0"/>
            <c:spPr>
              <a:solidFill>
                <a:srgbClr val="B7312C"/>
              </a:solidFill>
              <a:ln>
                <a:solidFill>
                  <a:srgbClr val="7F241F"/>
                </a:solidFill>
              </a:ln>
            </c:spPr>
            <c:extLst>
              <c:ext xmlns:c16="http://schemas.microsoft.com/office/drawing/2014/chart" uri="{C3380CC4-5D6E-409C-BE32-E72D297353CC}">
                <c16:uniqueId val="{00000004-EA90-4AD3-ABE4-5B34F4836766}"/>
              </c:ext>
            </c:extLst>
          </c:dPt>
          <c:dPt>
            <c:idx val="3"/>
            <c:invertIfNegative val="0"/>
            <c:bubble3D val="0"/>
            <c:spPr>
              <a:solidFill>
                <a:srgbClr val="005587"/>
              </a:solidFill>
              <a:ln>
                <a:solidFill>
                  <a:srgbClr val="12284C"/>
                </a:solidFill>
              </a:ln>
            </c:spPr>
            <c:extLst>
              <c:ext xmlns:c16="http://schemas.microsoft.com/office/drawing/2014/chart" uri="{C3380CC4-5D6E-409C-BE32-E72D297353CC}">
                <c16:uniqueId val="{00000005-D4E3-40AF-8345-71890A74772B}"/>
              </c:ext>
            </c:extLst>
          </c:dPt>
          <c:dPt>
            <c:idx val="4"/>
            <c:invertIfNegative val="0"/>
            <c:bubble3D val="0"/>
            <c:spPr>
              <a:solidFill>
                <a:srgbClr val="53565A"/>
              </a:solidFill>
              <a:ln>
                <a:solidFill>
                  <a:srgbClr val="383A3C"/>
                </a:solidFill>
              </a:ln>
            </c:spPr>
            <c:extLst>
              <c:ext xmlns:c16="http://schemas.microsoft.com/office/drawing/2014/chart" uri="{C3380CC4-5D6E-409C-BE32-E72D297353CC}">
                <c16:uniqueId val="{00000006-D4E3-40AF-8345-71890A74772B}"/>
              </c:ext>
            </c:extLst>
          </c:dPt>
          <c:dLbls>
            <c:dLbl>
              <c:idx val="0"/>
              <c:layout>
                <c:manualLayout>
                  <c:x val="1.0132073464371864E-2"/>
                  <c:y val="-3.8826413992771473E-2"/>
                </c:manualLayout>
              </c:layout>
              <c:spPr>
                <a:noFill/>
                <a:ln>
                  <a:noFill/>
                </a:ln>
                <a:effectLst/>
              </c:spPr>
              <c:txPr>
                <a:bodyPr vertOverflow="clip" horzOverflow="clip" wrap="square" lIns="38100" tIns="19050" rIns="38100" bIns="19050" anchor="ctr" anchorCtr="0">
                  <a:spAutoFit/>
                </a:bodyPr>
                <a:lstStyle/>
                <a:p>
                  <a:pPr algn="l">
                    <a:defRPr sz="900">
                      <a:latin typeface="Arial" panose="020B0604020202020204" pitchFamily="34" charset="0"/>
                      <a:ea typeface="Open Sans Light" panose="020B0306030504020204" pitchFamily="34" charset="0"/>
                      <a:cs typeface="Arial" panose="020B0604020202020204" pitchFamily="34" charset="0"/>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B89A-43E1-B6B0-9C74BAE5742A}"/>
                </c:ext>
              </c:extLst>
            </c:dLbl>
            <c:dLbl>
              <c:idx val="1"/>
              <c:layout>
                <c:manualLayout>
                  <c:x val="1.5129283485714557E-2"/>
                  <c:y val="-4.8005172389448875E-2"/>
                </c:manualLayout>
              </c:layout>
              <c:spPr>
                <a:noFill/>
                <a:ln>
                  <a:noFill/>
                </a:ln>
                <a:effectLst/>
              </c:spPr>
              <c:txPr>
                <a:bodyPr vertOverflow="clip" horzOverflow="clip" wrap="none" lIns="38100" tIns="19050" rIns="38100" bIns="19050" anchor="ctr" anchorCtr="0">
                  <a:spAutoFit/>
                </a:bodyPr>
                <a:lstStyle/>
                <a:p>
                  <a:pPr algn="l">
                    <a:defRPr sz="900">
                      <a:latin typeface="Arial" panose="020B0604020202020204" pitchFamily="34" charset="0"/>
                      <a:ea typeface="Open Sans Light" panose="020B0306030504020204" pitchFamily="34" charset="0"/>
                      <a:cs typeface="Arial" panose="020B0604020202020204" pitchFamily="34" charset="0"/>
                    </a:defRPr>
                  </a:pPr>
                  <a:endParaRPr lang="en-US"/>
                </a:p>
              </c:txP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3-EA90-4AD3-ABE4-5B34F4836766}"/>
                </c:ext>
              </c:extLst>
            </c:dLbl>
            <c:dLbl>
              <c:idx val="2"/>
              <c:layout>
                <c:manualLayout>
                  <c:x val="1.3026819748704328E-2"/>
                  <c:y val="-1.5037589533600872E-2"/>
                </c:manualLayout>
              </c:layout>
              <c:spPr>
                <a:noFill/>
                <a:ln>
                  <a:noFill/>
                </a:ln>
                <a:effectLst/>
              </c:spPr>
              <c:txPr>
                <a:bodyPr vertOverflow="clip" horzOverflow="clip" wrap="square" lIns="38100" tIns="19050" rIns="38100" bIns="19050" anchor="ctr" anchorCtr="0">
                  <a:spAutoFit/>
                </a:bodyPr>
                <a:lstStyle/>
                <a:p>
                  <a:pPr algn="l">
                    <a:defRPr sz="900">
                      <a:latin typeface="Arial" panose="020B0604020202020204" pitchFamily="34" charset="0"/>
                      <a:ea typeface="Open Sans Light" panose="020B0306030504020204" pitchFamily="34" charset="0"/>
                      <a:cs typeface="Arial" panose="020B0604020202020204" pitchFamily="34" charset="0"/>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EA90-4AD3-ABE4-5B34F4836766}"/>
                </c:ext>
              </c:extLst>
            </c:dLbl>
            <c:dLbl>
              <c:idx val="3"/>
              <c:layout>
                <c:manualLayout>
                  <c:x val="1.1579395332181518E-2"/>
                  <c:y val="-2.631578168380152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D4E3-40AF-8345-71890A74772B}"/>
                </c:ext>
              </c:extLst>
            </c:dLbl>
            <c:dLbl>
              <c:idx val="4"/>
              <c:layout>
                <c:manualLayout>
                  <c:x val="1.158161418747738E-2"/>
                  <c:y val="-2.674156309700396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D4E3-40AF-8345-71890A74772B}"/>
                </c:ext>
              </c:extLst>
            </c:dLbl>
            <c:spPr>
              <a:noFill/>
              <a:ln>
                <a:noFill/>
              </a:ln>
              <a:effectLst/>
            </c:spPr>
            <c:txPr>
              <a:bodyPr wrap="square" lIns="38100" tIns="19050" rIns="38100" bIns="19050" anchor="ctr" anchorCtr="0">
                <a:spAutoFit/>
              </a:bodyPr>
              <a:lstStyle/>
              <a:p>
                <a:pPr algn="l">
                  <a:defRPr sz="900">
                    <a:latin typeface="Arial" panose="020B0604020202020204" pitchFamily="34" charset="0"/>
                    <a:ea typeface="Open Sans Light" panose="020B0306030504020204" pitchFamily="34" charset="0"/>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SUMEXPEN!$P$438:$R$438</c:f>
              <c:strCache>
                <c:ptCount val="3"/>
                <c:pt idx="0">
                  <c:v>2023-2024</c:v>
                </c:pt>
                <c:pt idx="1">
                  <c:v>2024-2025</c:v>
                </c:pt>
                <c:pt idx="2">
                  <c:v>2025-2026</c:v>
                </c:pt>
              </c:strCache>
            </c:strRef>
          </c:cat>
          <c:val>
            <c:numRef>
              <c:f>SUMEXPEN!$P$439:$R$439</c:f>
              <c:numCache>
                <c:formatCode>"$"#,##0</c:formatCode>
                <c:ptCount val="3"/>
                <c:pt idx="0">
                  <c:v>2063</c:v>
                </c:pt>
                <c:pt idx="1">
                  <c:v>267</c:v>
                </c:pt>
                <c:pt idx="2">
                  <c:v>0</c:v>
                </c:pt>
              </c:numCache>
            </c:numRef>
          </c:val>
          <c:shape val="pyramid"/>
          <c:extLst>
            <c:ext xmlns:c16="http://schemas.microsoft.com/office/drawing/2014/chart" uri="{C3380CC4-5D6E-409C-BE32-E72D297353CC}">
              <c16:uniqueId val="{00000000-03ED-42F9-B639-8C83BB0EB494}"/>
            </c:ext>
          </c:extLst>
        </c:ser>
        <c:dLbls>
          <c:showLegendKey val="0"/>
          <c:showVal val="1"/>
          <c:showCatName val="0"/>
          <c:showSerName val="0"/>
          <c:showPercent val="0"/>
          <c:showBubbleSize val="0"/>
        </c:dLbls>
        <c:gapWidth val="150"/>
        <c:shape val="box"/>
        <c:axId val="128185088"/>
        <c:axId val="128186624"/>
        <c:axId val="0"/>
      </c:bar3DChart>
      <c:catAx>
        <c:axId val="128185088"/>
        <c:scaling>
          <c:orientation val="minMax"/>
        </c:scaling>
        <c:delete val="0"/>
        <c:axPos val="b"/>
        <c:numFmt formatCode="General" sourceLinked="1"/>
        <c:majorTickMark val="none"/>
        <c:minorTickMark val="none"/>
        <c:tickLblPos val="nextTo"/>
        <c:spPr>
          <a:noFill/>
        </c:spPr>
        <c:txPr>
          <a:bodyPr rot="0" anchor="t" anchorCtr="0"/>
          <a:lstStyle/>
          <a:p>
            <a:pPr>
              <a:defRPr sz="900" b="0" baseline="0">
                <a:solidFill>
                  <a:sysClr val="windowText" lastClr="000000"/>
                </a:solidFill>
                <a:latin typeface="Arial" panose="020B0604020202020204" pitchFamily="34" charset="0"/>
                <a:ea typeface="Open Sans" panose="020B0606030504020204" pitchFamily="34" charset="0"/>
                <a:cs typeface="Arial" panose="020B0604020202020204" pitchFamily="34" charset="0"/>
              </a:defRPr>
            </a:pPr>
            <a:endParaRPr lang="en-US"/>
          </a:p>
        </c:txPr>
        <c:crossAx val="128186624"/>
        <c:crosses val="autoZero"/>
        <c:auto val="1"/>
        <c:lblAlgn val="ctr"/>
        <c:lblOffset val="100"/>
        <c:noMultiLvlLbl val="0"/>
      </c:catAx>
      <c:valAx>
        <c:axId val="128186624"/>
        <c:scaling>
          <c:orientation val="minMax"/>
        </c:scaling>
        <c:delete val="0"/>
        <c:axPos val="l"/>
        <c:majorGridlines>
          <c:spPr>
            <a:ln>
              <a:solidFill>
                <a:srgbClr val="53565A"/>
              </a:solidFill>
            </a:ln>
          </c:spPr>
        </c:majorGridlines>
        <c:numFmt formatCode="&quot;$&quot;#,##0" sourceLinked="1"/>
        <c:majorTickMark val="none"/>
        <c:minorTickMark val="none"/>
        <c:tickLblPos val="nextTo"/>
        <c:spPr>
          <a:ln>
            <a:solidFill>
              <a:srgbClr val="53565A"/>
            </a:solidFill>
          </a:ln>
        </c:spPr>
        <c:txPr>
          <a:bodyPr/>
          <a:lstStyle/>
          <a:p>
            <a:pPr>
              <a:defRPr sz="900" baseline="0">
                <a:latin typeface="Arial" panose="020B0604020202020204" pitchFamily="34" charset="0"/>
                <a:ea typeface="Open Sans" panose="020B0606030504020204" pitchFamily="34" charset="0"/>
                <a:cs typeface="Arial" panose="020B0604020202020204" pitchFamily="34" charset="0"/>
              </a:defRPr>
            </a:pPr>
            <a:endParaRPr lang="en-US"/>
          </a:p>
        </c:txPr>
        <c:crossAx val="128185088"/>
        <c:crosses val="autoZero"/>
        <c:crossBetween val="between"/>
      </c:valAx>
      <c:spPr>
        <a:noFill/>
        <a:ln>
          <a:noFill/>
        </a:ln>
      </c:spPr>
    </c:plotArea>
    <c:plotVisOnly val="1"/>
    <c:dispBlanksAs val="gap"/>
    <c:showDLblsOverMax val="0"/>
  </c:chart>
  <c:spPr>
    <a:noFill/>
    <a:ln>
      <a:solidFill>
        <a:srgbClr val="53565A"/>
      </a:solidFill>
    </a:ln>
  </c:spPr>
  <c:printSettings>
    <c:headerFooter/>
    <c:pageMargins b="0.75" l="0.7" r="0.7" t="0.75" header="0.3" footer="0.3"/>
    <c:pageSetup orientation="portrait"/>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34"/>
    </mc:Choice>
    <mc:Fallback>
      <c:style val="34"/>
    </mc:Fallback>
  </mc:AlternateContent>
  <c:clrMapOvr bg1="lt1" tx1="dk1" bg2="lt2" tx2="dk2" accent1="accent1" accent2="accent2" accent3="accent3" accent4="accent4" accent5="accent5" accent6="accent6" hlink="hlink" folHlink="folHlink"/>
  <c:chart>
    <c:title>
      <c:tx>
        <c:rich>
          <a:bodyPr/>
          <a:lstStyle/>
          <a:p>
            <a:pPr>
              <a:defRPr sz="1100" b="0">
                <a:solidFill>
                  <a:srgbClr val="B7312C"/>
                </a:solidFill>
                <a:latin typeface="Arial" panose="020B0604020202020204" pitchFamily="34" charset="0"/>
                <a:ea typeface="Open Sans Semibold" panose="020B0706030804020204" pitchFamily="34" charset="0"/>
                <a:cs typeface="Arial" panose="020B0604020202020204" pitchFamily="34" charset="0"/>
              </a:defRPr>
            </a:pPr>
            <a:r>
              <a:rPr lang="en-US" sz="1200">
                <a:solidFill>
                  <a:srgbClr val="B7312C"/>
                </a:solidFill>
                <a:latin typeface="Arial" panose="020B0604020202020204" pitchFamily="34" charset="0"/>
                <a:ea typeface="Open Sans Semibold" panose="020B0706030804020204" pitchFamily="34" charset="0"/>
                <a:cs typeface="Arial" panose="020B0604020202020204" pitchFamily="34" charset="0"/>
              </a:rPr>
              <a:t>Summary of Total Expenditures</a:t>
            </a:r>
          </a:p>
          <a:p>
            <a:pPr>
              <a:defRPr sz="1100" b="0">
                <a:solidFill>
                  <a:srgbClr val="B7312C"/>
                </a:solidFill>
                <a:latin typeface="Arial" panose="020B0604020202020204" pitchFamily="34" charset="0"/>
                <a:ea typeface="Open Sans Semibold" panose="020B0706030804020204" pitchFamily="34" charset="0"/>
                <a:cs typeface="Arial" panose="020B0604020202020204" pitchFamily="34" charset="0"/>
              </a:defRPr>
            </a:pPr>
            <a:r>
              <a:rPr lang="en-US" sz="1200">
                <a:solidFill>
                  <a:srgbClr val="B7312C"/>
                </a:solidFill>
                <a:latin typeface="Arial" panose="020B0604020202020204" pitchFamily="34" charset="0"/>
                <a:ea typeface="Open Sans Semibold" panose="020B0706030804020204" pitchFamily="34" charset="0"/>
                <a:cs typeface="Arial" panose="020B0604020202020204" pitchFamily="34" charset="0"/>
              </a:rPr>
              <a:t>by Function (All Funds)</a:t>
            </a:r>
          </a:p>
        </c:rich>
      </c:tx>
      <c:layout>
        <c:manualLayout>
          <c:xMode val="edge"/>
          <c:yMode val="edge"/>
          <c:x val="0.26945930883999369"/>
          <c:y val="9.0592503506001214E-3"/>
        </c:manualLayout>
      </c:layout>
      <c:overlay val="0"/>
    </c:title>
    <c:autoTitleDeleted val="0"/>
    <c:view3D>
      <c:rotX val="15"/>
      <c:rotY val="20"/>
      <c:depthPercent val="100"/>
      <c:rAngAx val="1"/>
    </c:view3D>
    <c:floor>
      <c:thickness val="0"/>
      <c:spPr>
        <a:gradFill flip="none" rotWithShape="1">
          <a:gsLst>
            <a:gs pos="0">
              <a:srgbClr val="12284C">
                <a:lumMod val="5000"/>
                <a:lumOff val="95000"/>
              </a:srgbClr>
            </a:gs>
            <a:gs pos="74000">
              <a:srgbClr val="12284C">
                <a:lumMod val="45000"/>
                <a:lumOff val="55000"/>
              </a:srgbClr>
            </a:gs>
            <a:gs pos="83000">
              <a:srgbClr val="12284C">
                <a:lumMod val="45000"/>
                <a:lumOff val="55000"/>
              </a:srgbClr>
            </a:gs>
            <a:gs pos="100000">
              <a:srgbClr val="12284C">
                <a:lumMod val="30000"/>
                <a:lumOff val="70000"/>
              </a:srgbClr>
            </a:gs>
          </a:gsLst>
          <a:path path="circle">
            <a:fillToRect l="100000" t="100000"/>
          </a:path>
          <a:tileRect r="-100000" b="-100000"/>
        </a:gradFill>
        <a:ln>
          <a:solidFill>
            <a:srgbClr val="12284C"/>
          </a:solidFill>
        </a:ln>
      </c:spPr>
    </c:floor>
    <c:sideWall>
      <c:thickness val="0"/>
      <c:spPr>
        <a:gradFill flip="none" rotWithShape="1">
          <a:gsLst>
            <a:gs pos="0">
              <a:srgbClr val="12284C">
                <a:lumMod val="5000"/>
                <a:lumOff val="95000"/>
              </a:srgbClr>
            </a:gs>
            <a:gs pos="74000">
              <a:srgbClr val="12284C">
                <a:lumMod val="45000"/>
                <a:lumOff val="55000"/>
              </a:srgbClr>
            </a:gs>
            <a:gs pos="83000">
              <a:srgbClr val="12284C">
                <a:lumMod val="45000"/>
                <a:lumOff val="55000"/>
              </a:srgbClr>
            </a:gs>
            <a:gs pos="100000">
              <a:srgbClr val="12284C">
                <a:lumMod val="30000"/>
                <a:lumOff val="70000"/>
              </a:srgbClr>
            </a:gs>
          </a:gsLst>
          <a:path path="circle">
            <a:fillToRect l="100000" t="100000"/>
          </a:path>
          <a:tileRect r="-100000" b="-100000"/>
        </a:gradFill>
        <a:ln>
          <a:solidFill>
            <a:srgbClr val="12284C"/>
          </a:solidFill>
        </a:ln>
      </c:spPr>
    </c:sideWall>
    <c:backWall>
      <c:thickness val="0"/>
      <c:spPr>
        <a:gradFill flip="none" rotWithShape="1">
          <a:gsLst>
            <a:gs pos="0">
              <a:srgbClr val="12284C">
                <a:lumMod val="5000"/>
                <a:lumOff val="95000"/>
              </a:srgbClr>
            </a:gs>
            <a:gs pos="74000">
              <a:srgbClr val="12284C">
                <a:lumMod val="45000"/>
                <a:lumOff val="55000"/>
              </a:srgbClr>
            </a:gs>
            <a:gs pos="83000">
              <a:srgbClr val="12284C">
                <a:lumMod val="45000"/>
                <a:lumOff val="55000"/>
              </a:srgbClr>
            </a:gs>
            <a:gs pos="100000">
              <a:srgbClr val="12284C">
                <a:lumMod val="30000"/>
                <a:lumOff val="70000"/>
              </a:srgbClr>
            </a:gs>
          </a:gsLst>
          <a:path path="circle">
            <a:fillToRect l="100000" t="100000"/>
          </a:path>
          <a:tileRect r="-100000" b="-100000"/>
        </a:gradFill>
        <a:ln>
          <a:solidFill>
            <a:srgbClr val="12284C"/>
          </a:solidFill>
        </a:ln>
      </c:spPr>
    </c:backWall>
    <c:plotArea>
      <c:layout>
        <c:manualLayout>
          <c:layoutTarget val="inner"/>
          <c:xMode val="edge"/>
          <c:yMode val="edge"/>
          <c:x val="8.3748312084597445E-2"/>
          <c:y val="0.18235846278690723"/>
          <c:w val="0.83965092165769695"/>
          <c:h val="0.47985238352634441"/>
        </c:manualLayout>
      </c:layout>
      <c:bar3DChart>
        <c:barDir val="col"/>
        <c:grouping val="clustered"/>
        <c:varyColors val="0"/>
        <c:ser>
          <c:idx val="0"/>
          <c:order val="0"/>
          <c:tx>
            <c:strRef>
              <c:f>SUMEXPEN!$P$31</c:f>
              <c:strCache>
                <c:ptCount val="1"/>
                <c:pt idx="0">
                  <c:v>2023-2024</c:v>
                </c:pt>
              </c:strCache>
            </c:strRef>
          </c:tx>
          <c:spPr>
            <a:solidFill>
              <a:srgbClr val="FFA400"/>
            </a:solidFill>
            <a:ln>
              <a:solidFill>
                <a:srgbClr val="D28700"/>
              </a:solidFill>
            </a:ln>
          </c:spPr>
          <c:invertIfNegative val="0"/>
          <c:dLbls>
            <c:delete val="1"/>
          </c:dLbls>
          <c:cat>
            <c:strRef>
              <c:f>SUMEXPEN!$O$32:$O$41</c:f>
              <c:strCache>
                <c:ptCount val="10"/>
                <c:pt idx="0">
                  <c:v>Instruction</c:v>
                </c:pt>
                <c:pt idx="1">
                  <c:v>Student Support Services</c:v>
                </c:pt>
                <c:pt idx="2">
                  <c:v>Instructional Support Services</c:v>
                </c:pt>
                <c:pt idx="3">
                  <c:v>Administration &amp; Support</c:v>
                </c:pt>
                <c:pt idx="4">
                  <c:v>Operations &amp; Maintenance</c:v>
                </c:pt>
                <c:pt idx="5">
                  <c:v>Transportation</c:v>
                </c:pt>
                <c:pt idx="6">
                  <c:v>Food Services</c:v>
                </c:pt>
                <c:pt idx="7">
                  <c:v>Capital Improvements</c:v>
                </c:pt>
                <c:pt idx="8">
                  <c:v>Debt Services</c:v>
                </c:pt>
                <c:pt idx="9">
                  <c:v>Other Costs</c:v>
                </c:pt>
              </c:strCache>
            </c:strRef>
          </c:cat>
          <c:val>
            <c:numRef>
              <c:f>SUMEXPEN!$P$32:$P$41</c:f>
              <c:numCache>
                <c:formatCode>"$"#,##0</c:formatCode>
                <c:ptCount val="10"/>
                <c:pt idx="0">
                  <c:v>938685</c:v>
                </c:pt>
                <c:pt idx="1">
                  <c:v>2063</c:v>
                </c:pt>
                <c:pt idx="2">
                  <c:v>1258</c:v>
                </c:pt>
                <c:pt idx="3">
                  <c:v>256195</c:v>
                </c:pt>
                <c:pt idx="4">
                  <c:v>397475</c:v>
                </c:pt>
                <c:pt idx="5">
                  <c:v>54953</c:v>
                </c:pt>
                <c:pt idx="6">
                  <c:v>122157</c:v>
                </c:pt>
                <c:pt idx="7">
                  <c:v>39926</c:v>
                </c:pt>
                <c:pt idx="8">
                  <c:v>153725</c:v>
                </c:pt>
                <c:pt idx="9">
                  <c:v>7174</c:v>
                </c:pt>
              </c:numCache>
            </c:numRef>
          </c:val>
          <c:extLst>
            <c:ext xmlns:c16="http://schemas.microsoft.com/office/drawing/2014/chart" uri="{C3380CC4-5D6E-409C-BE32-E72D297353CC}">
              <c16:uniqueId val="{00000000-03ED-42F9-B639-8C83BB0EB494}"/>
            </c:ext>
          </c:extLst>
        </c:ser>
        <c:ser>
          <c:idx val="1"/>
          <c:order val="1"/>
          <c:tx>
            <c:strRef>
              <c:f>SUMEXPEN!$Q$31</c:f>
              <c:strCache>
                <c:ptCount val="1"/>
                <c:pt idx="0">
                  <c:v>2024-2025</c:v>
                </c:pt>
              </c:strCache>
            </c:strRef>
          </c:tx>
          <c:spPr>
            <a:solidFill>
              <a:srgbClr val="D50032"/>
            </a:solidFill>
            <a:ln>
              <a:solidFill>
                <a:srgbClr val="B7312C"/>
              </a:solidFill>
            </a:ln>
          </c:spPr>
          <c:invertIfNegative val="0"/>
          <c:dLbls>
            <c:delete val="1"/>
          </c:dLbls>
          <c:cat>
            <c:strRef>
              <c:f>SUMEXPEN!$O$32:$O$41</c:f>
              <c:strCache>
                <c:ptCount val="10"/>
                <c:pt idx="0">
                  <c:v>Instruction</c:v>
                </c:pt>
                <c:pt idx="1">
                  <c:v>Student Support Services</c:v>
                </c:pt>
                <c:pt idx="2">
                  <c:v>Instructional Support Services</c:v>
                </c:pt>
                <c:pt idx="3">
                  <c:v>Administration &amp; Support</c:v>
                </c:pt>
                <c:pt idx="4">
                  <c:v>Operations &amp; Maintenance</c:v>
                </c:pt>
                <c:pt idx="5">
                  <c:v>Transportation</c:v>
                </c:pt>
                <c:pt idx="6">
                  <c:v>Food Services</c:v>
                </c:pt>
                <c:pt idx="7">
                  <c:v>Capital Improvements</c:v>
                </c:pt>
                <c:pt idx="8">
                  <c:v>Debt Services</c:v>
                </c:pt>
                <c:pt idx="9">
                  <c:v>Other Costs</c:v>
                </c:pt>
              </c:strCache>
            </c:strRef>
          </c:cat>
          <c:val>
            <c:numRef>
              <c:f>SUMEXPEN!$Q$32:$Q$41</c:f>
              <c:numCache>
                <c:formatCode>"$"#,##0</c:formatCode>
                <c:ptCount val="10"/>
                <c:pt idx="0">
                  <c:v>1968697</c:v>
                </c:pt>
                <c:pt idx="1">
                  <c:v>267</c:v>
                </c:pt>
                <c:pt idx="2">
                  <c:v>240</c:v>
                </c:pt>
                <c:pt idx="3">
                  <c:v>263732</c:v>
                </c:pt>
                <c:pt idx="4">
                  <c:v>693565</c:v>
                </c:pt>
                <c:pt idx="5">
                  <c:v>58431</c:v>
                </c:pt>
                <c:pt idx="6">
                  <c:v>133439</c:v>
                </c:pt>
                <c:pt idx="7">
                  <c:v>0</c:v>
                </c:pt>
                <c:pt idx="8">
                  <c:v>154900</c:v>
                </c:pt>
                <c:pt idx="9">
                  <c:v>219</c:v>
                </c:pt>
              </c:numCache>
            </c:numRef>
          </c:val>
          <c:extLst>
            <c:ext xmlns:c16="http://schemas.microsoft.com/office/drawing/2014/chart" uri="{C3380CC4-5D6E-409C-BE32-E72D297353CC}">
              <c16:uniqueId val="{00000001-03ED-42F9-B639-8C83BB0EB494}"/>
            </c:ext>
          </c:extLst>
        </c:ser>
        <c:ser>
          <c:idx val="2"/>
          <c:order val="2"/>
          <c:tx>
            <c:strRef>
              <c:f>SUMEXPEN!$R$31</c:f>
              <c:strCache>
                <c:ptCount val="1"/>
                <c:pt idx="0">
                  <c:v>2025-2026</c:v>
                </c:pt>
              </c:strCache>
            </c:strRef>
          </c:tx>
          <c:spPr>
            <a:solidFill>
              <a:srgbClr val="00B796"/>
            </a:solidFill>
            <a:ln>
              <a:solidFill>
                <a:srgbClr val="008269"/>
              </a:solidFill>
            </a:ln>
          </c:spPr>
          <c:invertIfNegative val="0"/>
          <c:dLbls>
            <c:delete val="1"/>
          </c:dLbls>
          <c:cat>
            <c:strRef>
              <c:f>SUMEXPEN!$O$32:$O$41</c:f>
              <c:strCache>
                <c:ptCount val="10"/>
                <c:pt idx="0">
                  <c:v>Instruction</c:v>
                </c:pt>
                <c:pt idx="1">
                  <c:v>Student Support Services</c:v>
                </c:pt>
                <c:pt idx="2">
                  <c:v>Instructional Support Services</c:v>
                </c:pt>
                <c:pt idx="3">
                  <c:v>Administration &amp; Support</c:v>
                </c:pt>
                <c:pt idx="4">
                  <c:v>Operations &amp; Maintenance</c:v>
                </c:pt>
                <c:pt idx="5">
                  <c:v>Transportation</c:v>
                </c:pt>
                <c:pt idx="6">
                  <c:v>Food Services</c:v>
                </c:pt>
                <c:pt idx="7">
                  <c:v>Capital Improvements</c:v>
                </c:pt>
                <c:pt idx="8">
                  <c:v>Debt Services</c:v>
                </c:pt>
                <c:pt idx="9">
                  <c:v>Other Costs</c:v>
                </c:pt>
              </c:strCache>
            </c:strRef>
          </c:cat>
          <c:val>
            <c:numRef>
              <c:f>SUMEXPEN!$R$32:$R$41</c:f>
              <c:numCache>
                <c:formatCode>"$"#,##0</c:formatCode>
                <c:ptCount val="10"/>
                <c:pt idx="0">
                  <c:v>1412804</c:v>
                </c:pt>
                <c:pt idx="1">
                  <c:v>0</c:v>
                </c:pt>
                <c:pt idx="2">
                  <c:v>100</c:v>
                </c:pt>
                <c:pt idx="3">
                  <c:v>266917</c:v>
                </c:pt>
                <c:pt idx="4">
                  <c:v>624676</c:v>
                </c:pt>
                <c:pt idx="5">
                  <c:v>191507</c:v>
                </c:pt>
                <c:pt idx="6">
                  <c:v>129500</c:v>
                </c:pt>
                <c:pt idx="7">
                  <c:v>25000</c:v>
                </c:pt>
                <c:pt idx="8">
                  <c:v>154900</c:v>
                </c:pt>
                <c:pt idx="9">
                  <c:v>0</c:v>
                </c:pt>
              </c:numCache>
            </c:numRef>
          </c:val>
          <c:extLst>
            <c:ext xmlns:c16="http://schemas.microsoft.com/office/drawing/2014/chart" uri="{C3380CC4-5D6E-409C-BE32-E72D297353CC}">
              <c16:uniqueId val="{00000002-03ED-42F9-B639-8C83BB0EB494}"/>
            </c:ext>
          </c:extLst>
        </c:ser>
        <c:dLbls>
          <c:showLegendKey val="0"/>
          <c:showVal val="1"/>
          <c:showCatName val="0"/>
          <c:showSerName val="0"/>
          <c:showPercent val="0"/>
          <c:showBubbleSize val="0"/>
        </c:dLbls>
        <c:gapWidth val="150"/>
        <c:shape val="box"/>
        <c:axId val="128185088"/>
        <c:axId val="128186624"/>
        <c:axId val="0"/>
      </c:bar3DChart>
      <c:catAx>
        <c:axId val="128185088"/>
        <c:scaling>
          <c:orientation val="minMax"/>
        </c:scaling>
        <c:delete val="0"/>
        <c:axPos val="b"/>
        <c:numFmt formatCode="General" sourceLinked="1"/>
        <c:majorTickMark val="none"/>
        <c:minorTickMark val="none"/>
        <c:tickLblPos val="nextTo"/>
        <c:spPr>
          <a:noFill/>
        </c:spPr>
        <c:txPr>
          <a:bodyPr rot="-1860000" anchor="t" anchorCtr="0"/>
          <a:lstStyle/>
          <a:p>
            <a:pPr>
              <a:defRPr sz="900" b="0" baseline="0">
                <a:solidFill>
                  <a:sysClr val="windowText" lastClr="000000"/>
                </a:solidFill>
                <a:latin typeface="Arial" panose="020B0604020202020204" pitchFamily="34" charset="0"/>
                <a:ea typeface="Open Sans" panose="020B0606030504020204" pitchFamily="34" charset="0"/>
                <a:cs typeface="Arial" panose="020B0604020202020204" pitchFamily="34" charset="0"/>
              </a:defRPr>
            </a:pPr>
            <a:endParaRPr lang="en-US"/>
          </a:p>
        </c:txPr>
        <c:crossAx val="128186624"/>
        <c:crosses val="autoZero"/>
        <c:auto val="1"/>
        <c:lblAlgn val="ctr"/>
        <c:lblOffset val="100"/>
        <c:noMultiLvlLbl val="0"/>
      </c:catAx>
      <c:valAx>
        <c:axId val="128186624"/>
        <c:scaling>
          <c:orientation val="minMax"/>
        </c:scaling>
        <c:delete val="0"/>
        <c:axPos val="l"/>
        <c:majorGridlines>
          <c:spPr>
            <a:ln>
              <a:solidFill>
                <a:srgbClr val="53565A"/>
              </a:solidFill>
            </a:ln>
          </c:spPr>
        </c:majorGridlines>
        <c:numFmt formatCode="&quot;$&quot;#,##0" sourceLinked="1"/>
        <c:majorTickMark val="none"/>
        <c:minorTickMark val="none"/>
        <c:tickLblPos val="nextTo"/>
        <c:spPr>
          <a:ln>
            <a:solidFill>
              <a:srgbClr val="53565A"/>
            </a:solidFill>
          </a:ln>
        </c:spPr>
        <c:txPr>
          <a:bodyPr/>
          <a:lstStyle/>
          <a:p>
            <a:pPr>
              <a:defRPr sz="900" baseline="0">
                <a:latin typeface="Arial" panose="020B0604020202020204" pitchFamily="34" charset="0"/>
                <a:ea typeface="Open Sans" panose="020B0606030504020204" pitchFamily="34" charset="0"/>
                <a:cs typeface="Arial" panose="020B0604020202020204" pitchFamily="34" charset="0"/>
              </a:defRPr>
            </a:pPr>
            <a:endParaRPr lang="en-US"/>
          </a:p>
        </c:txPr>
        <c:crossAx val="128185088"/>
        <c:crosses val="autoZero"/>
        <c:crossBetween val="between"/>
      </c:valAx>
      <c:spPr>
        <a:solidFill>
          <a:schemeClr val="bg1"/>
        </a:solidFill>
        <a:ln>
          <a:noFill/>
        </a:ln>
      </c:spPr>
    </c:plotArea>
    <c:legend>
      <c:legendPos val="b"/>
      <c:layout>
        <c:manualLayout>
          <c:xMode val="edge"/>
          <c:yMode val="edge"/>
          <c:x val="0.22210556639742321"/>
          <c:y val="0.93740929574477838"/>
          <c:w val="0.5557886445795337"/>
          <c:h val="6.2590704255221605E-2"/>
        </c:manualLayout>
      </c:layout>
      <c:overlay val="0"/>
      <c:txPr>
        <a:bodyPr/>
        <a:lstStyle/>
        <a:p>
          <a:pPr>
            <a:defRPr sz="900">
              <a:latin typeface="Arial" panose="020B0604020202020204" pitchFamily="34" charset="0"/>
              <a:cs typeface="Arial" panose="020B0604020202020204" pitchFamily="34" charset="0"/>
            </a:defRPr>
          </a:pPr>
          <a:endParaRPr lang="en-US"/>
        </a:p>
      </c:txPr>
    </c:legend>
    <c:plotVisOnly val="1"/>
    <c:dispBlanksAs val="gap"/>
    <c:showDLblsOverMax val="0"/>
  </c:chart>
  <c:spPr>
    <a:ln>
      <a:solidFill>
        <a:srgbClr val="53565A"/>
      </a:solidFill>
    </a:ln>
  </c:spPr>
  <c:printSettings>
    <c:headerFooter/>
    <c:pageMargins b="0.75" l="0.7" r="0.7" t="0.75"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34"/>
    </mc:Choice>
    <mc:Fallback>
      <c:style val="34"/>
    </mc:Fallback>
  </mc:AlternateContent>
  <c:clrMapOvr bg1="lt1" tx1="dk1" bg2="lt2" tx2="dk2" accent1="accent1" accent2="accent2" accent3="accent3" accent4="accent4" accent5="accent5" accent6="accent6" hlink="hlink" folHlink="folHlink"/>
  <c:chart>
    <c:title>
      <c:tx>
        <c:rich>
          <a:bodyPr/>
          <a:lstStyle/>
          <a:p>
            <a:pPr>
              <a:defRPr sz="1100" b="0">
                <a:solidFill>
                  <a:srgbClr val="12284C"/>
                </a:solidFill>
                <a:latin typeface="Arial" panose="020B0604020202020204" pitchFamily="34" charset="0"/>
                <a:ea typeface="Open Sans Semibold" panose="020B0706030804020204" pitchFamily="34" charset="0"/>
                <a:cs typeface="Arial" panose="020B0604020202020204" pitchFamily="34" charset="0"/>
              </a:defRPr>
            </a:pPr>
            <a:r>
              <a:rPr lang="en-US" sz="1200">
                <a:solidFill>
                  <a:srgbClr val="12284C"/>
                </a:solidFill>
                <a:latin typeface="Arial" panose="020B0604020202020204" pitchFamily="34" charset="0"/>
                <a:ea typeface="Open Sans Semibold" panose="020B0706030804020204" pitchFamily="34" charset="0"/>
                <a:cs typeface="Arial" panose="020B0604020202020204" pitchFamily="34" charset="0"/>
              </a:rPr>
              <a:t>General and Supplemental General Fund</a:t>
            </a:r>
          </a:p>
          <a:p>
            <a:pPr>
              <a:defRPr sz="1100" b="0">
                <a:solidFill>
                  <a:srgbClr val="12284C"/>
                </a:solidFill>
                <a:latin typeface="Arial" panose="020B0604020202020204" pitchFamily="34" charset="0"/>
                <a:ea typeface="Open Sans Semibold" panose="020B0706030804020204" pitchFamily="34" charset="0"/>
                <a:cs typeface="Arial" panose="020B0604020202020204" pitchFamily="34" charset="0"/>
              </a:defRPr>
            </a:pPr>
            <a:r>
              <a:rPr lang="en-US" sz="1200">
                <a:solidFill>
                  <a:srgbClr val="12284C"/>
                </a:solidFill>
                <a:latin typeface="Arial" panose="020B0604020202020204" pitchFamily="34" charset="0"/>
                <a:ea typeface="Open Sans Semibold" panose="020B0706030804020204" pitchFamily="34" charset="0"/>
                <a:cs typeface="Arial" panose="020B0604020202020204" pitchFamily="34" charset="0"/>
              </a:rPr>
              <a:t>Expenditures by Function</a:t>
            </a:r>
          </a:p>
        </c:rich>
      </c:tx>
      <c:layout>
        <c:manualLayout>
          <c:xMode val="edge"/>
          <c:yMode val="edge"/>
          <c:x val="0.21924035801722269"/>
          <c:y val="9.0589644588050886E-3"/>
        </c:manualLayout>
      </c:layout>
      <c:overlay val="0"/>
    </c:title>
    <c:autoTitleDeleted val="0"/>
    <c:view3D>
      <c:rotX val="15"/>
      <c:rotY val="20"/>
      <c:depthPercent val="100"/>
      <c:rAngAx val="1"/>
    </c:view3D>
    <c:floor>
      <c:thickness val="0"/>
      <c:spPr>
        <a:gradFill flip="none" rotWithShape="1">
          <a:gsLst>
            <a:gs pos="0">
              <a:srgbClr val="12284C">
                <a:lumMod val="5000"/>
                <a:lumOff val="95000"/>
              </a:srgbClr>
            </a:gs>
            <a:gs pos="74000">
              <a:srgbClr val="12284C">
                <a:lumMod val="45000"/>
                <a:lumOff val="55000"/>
              </a:srgbClr>
            </a:gs>
            <a:gs pos="83000">
              <a:srgbClr val="12284C">
                <a:lumMod val="45000"/>
                <a:lumOff val="55000"/>
              </a:srgbClr>
            </a:gs>
            <a:gs pos="100000">
              <a:srgbClr val="12284C">
                <a:lumMod val="30000"/>
                <a:lumOff val="70000"/>
              </a:srgbClr>
            </a:gs>
          </a:gsLst>
          <a:path path="circle">
            <a:fillToRect l="100000" t="100000"/>
          </a:path>
          <a:tileRect r="-100000" b="-100000"/>
        </a:gradFill>
        <a:ln>
          <a:solidFill>
            <a:srgbClr val="12284C"/>
          </a:solidFill>
        </a:ln>
      </c:spPr>
    </c:floor>
    <c:sideWall>
      <c:thickness val="0"/>
      <c:spPr>
        <a:gradFill flip="none" rotWithShape="1">
          <a:gsLst>
            <a:gs pos="0">
              <a:srgbClr val="12284C">
                <a:lumMod val="5000"/>
                <a:lumOff val="95000"/>
              </a:srgbClr>
            </a:gs>
            <a:gs pos="74000">
              <a:srgbClr val="12284C">
                <a:lumMod val="45000"/>
                <a:lumOff val="55000"/>
              </a:srgbClr>
            </a:gs>
            <a:gs pos="83000">
              <a:srgbClr val="12284C">
                <a:lumMod val="45000"/>
                <a:lumOff val="55000"/>
              </a:srgbClr>
            </a:gs>
            <a:gs pos="100000">
              <a:srgbClr val="12284C">
                <a:lumMod val="30000"/>
                <a:lumOff val="70000"/>
              </a:srgbClr>
            </a:gs>
          </a:gsLst>
          <a:path path="circle">
            <a:fillToRect l="100000" t="100000"/>
          </a:path>
          <a:tileRect r="-100000" b="-100000"/>
        </a:gradFill>
        <a:ln>
          <a:solidFill>
            <a:srgbClr val="12284C"/>
          </a:solidFill>
        </a:ln>
      </c:spPr>
    </c:sideWall>
    <c:backWall>
      <c:thickness val="0"/>
      <c:spPr>
        <a:gradFill flip="none" rotWithShape="1">
          <a:gsLst>
            <a:gs pos="0">
              <a:srgbClr val="12284C">
                <a:lumMod val="5000"/>
                <a:lumOff val="95000"/>
              </a:srgbClr>
            </a:gs>
            <a:gs pos="74000">
              <a:srgbClr val="12284C">
                <a:lumMod val="45000"/>
                <a:lumOff val="55000"/>
              </a:srgbClr>
            </a:gs>
            <a:gs pos="83000">
              <a:srgbClr val="12284C">
                <a:lumMod val="45000"/>
                <a:lumOff val="55000"/>
              </a:srgbClr>
            </a:gs>
            <a:gs pos="100000">
              <a:srgbClr val="12284C">
                <a:lumMod val="30000"/>
                <a:lumOff val="70000"/>
              </a:srgbClr>
            </a:gs>
          </a:gsLst>
          <a:path path="circle">
            <a:fillToRect l="100000" t="100000"/>
          </a:path>
          <a:tileRect r="-100000" b="-100000"/>
        </a:gradFill>
        <a:ln>
          <a:solidFill>
            <a:srgbClr val="12284C"/>
          </a:solidFill>
        </a:ln>
      </c:spPr>
    </c:backWall>
    <c:plotArea>
      <c:layout>
        <c:manualLayout>
          <c:layoutTarget val="inner"/>
          <c:xMode val="edge"/>
          <c:yMode val="edge"/>
          <c:x val="0.15159501770140557"/>
          <c:y val="0.17300173209863898"/>
          <c:w val="0.83965092165769695"/>
          <c:h val="0.47985238352634441"/>
        </c:manualLayout>
      </c:layout>
      <c:bar3DChart>
        <c:barDir val="col"/>
        <c:grouping val="clustered"/>
        <c:varyColors val="0"/>
        <c:ser>
          <c:idx val="0"/>
          <c:order val="0"/>
          <c:tx>
            <c:strRef>
              <c:f>SUMEXPEN!$P$213</c:f>
              <c:strCache>
                <c:ptCount val="1"/>
                <c:pt idx="0">
                  <c:v>2023-2024</c:v>
                </c:pt>
              </c:strCache>
            </c:strRef>
          </c:tx>
          <c:spPr>
            <a:solidFill>
              <a:srgbClr val="FFA400"/>
            </a:solidFill>
            <a:ln>
              <a:solidFill>
                <a:srgbClr val="D28700"/>
              </a:solidFill>
            </a:ln>
          </c:spPr>
          <c:invertIfNegative val="0"/>
          <c:dLbls>
            <c:delete val="1"/>
          </c:dLbls>
          <c:cat>
            <c:strRef>
              <c:f>(SUMEXPEN!$O$214:$O$219,SUMEXPEN!$O$221)</c:f>
              <c:strCache>
                <c:ptCount val="7"/>
                <c:pt idx="0">
                  <c:v>Instruction</c:v>
                </c:pt>
                <c:pt idx="1">
                  <c:v>Student Support</c:v>
                </c:pt>
                <c:pt idx="2">
                  <c:v>Instructional Support</c:v>
                </c:pt>
                <c:pt idx="3">
                  <c:v>Administration &amp; Support</c:v>
                </c:pt>
                <c:pt idx="4">
                  <c:v>Operations &amp; Maintenance</c:v>
                </c:pt>
                <c:pt idx="5">
                  <c:v>Transportation</c:v>
                </c:pt>
                <c:pt idx="6">
                  <c:v>Other Costs</c:v>
                </c:pt>
              </c:strCache>
            </c:strRef>
          </c:cat>
          <c:val>
            <c:numRef>
              <c:f>(SUMEXPEN!$P$214:$P$219,SUMEXPEN!$P$221)</c:f>
              <c:numCache>
                <c:formatCode>"$"#,##0</c:formatCode>
                <c:ptCount val="7"/>
                <c:pt idx="0">
                  <c:v>516640</c:v>
                </c:pt>
                <c:pt idx="1">
                  <c:v>2063</c:v>
                </c:pt>
                <c:pt idx="2">
                  <c:v>0</c:v>
                </c:pt>
                <c:pt idx="3">
                  <c:v>230019</c:v>
                </c:pt>
                <c:pt idx="4">
                  <c:v>249852</c:v>
                </c:pt>
                <c:pt idx="5">
                  <c:v>52305</c:v>
                </c:pt>
                <c:pt idx="6">
                  <c:v>7174</c:v>
                </c:pt>
              </c:numCache>
            </c:numRef>
          </c:val>
          <c:extLst>
            <c:ext xmlns:c16="http://schemas.microsoft.com/office/drawing/2014/chart" uri="{C3380CC4-5D6E-409C-BE32-E72D297353CC}">
              <c16:uniqueId val="{00000000-03ED-42F9-B639-8C83BB0EB494}"/>
            </c:ext>
          </c:extLst>
        </c:ser>
        <c:ser>
          <c:idx val="1"/>
          <c:order val="1"/>
          <c:tx>
            <c:strRef>
              <c:f>SUMEXPEN!$Q$213</c:f>
              <c:strCache>
                <c:ptCount val="1"/>
                <c:pt idx="0">
                  <c:v>2024-2025</c:v>
                </c:pt>
              </c:strCache>
            </c:strRef>
          </c:tx>
          <c:spPr>
            <a:solidFill>
              <a:srgbClr val="D50032"/>
            </a:solidFill>
            <a:ln>
              <a:solidFill>
                <a:srgbClr val="B7312C"/>
              </a:solidFill>
            </a:ln>
          </c:spPr>
          <c:invertIfNegative val="0"/>
          <c:dLbls>
            <c:delete val="1"/>
          </c:dLbls>
          <c:cat>
            <c:strRef>
              <c:f>(SUMEXPEN!$O$214:$O$219,SUMEXPEN!$O$221)</c:f>
              <c:strCache>
                <c:ptCount val="7"/>
                <c:pt idx="0">
                  <c:v>Instruction</c:v>
                </c:pt>
                <c:pt idx="1">
                  <c:v>Student Support</c:v>
                </c:pt>
                <c:pt idx="2">
                  <c:v>Instructional Support</c:v>
                </c:pt>
                <c:pt idx="3">
                  <c:v>Administration &amp; Support</c:v>
                </c:pt>
                <c:pt idx="4">
                  <c:v>Operations &amp; Maintenance</c:v>
                </c:pt>
                <c:pt idx="5">
                  <c:v>Transportation</c:v>
                </c:pt>
                <c:pt idx="6">
                  <c:v>Other Costs</c:v>
                </c:pt>
              </c:strCache>
            </c:strRef>
          </c:cat>
          <c:val>
            <c:numRef>
              <c:f>(SUMEXPEN!$Q$214:$Q$219,SUMEXPEN!$Q$221)</c:f>
              <c:numCache>
                <c:formatCode>"$"#,##0</c:formatCode>
                <c:ptCount val="7"/>
                <c:pt idx="0">
                  <c:v>509814</c:v>
                </c:pt>
                <c:pt idx="1">
                  <c:v>267</c:v>
                </c:pt>
                <c:pt idx="2">
                  <c:v>195</c:v>
                </c:pt>
                <c:pt idx="3">
                  <c:v>241259</c:v>
                </c:pt>
                <c:pt idx="4">
                  <c:v>199155</c:v>
                </c:pt>
                <c:pt idx="5">
                  <c:v>56003</c:v>
                </c:pt>
                <c:pt idx="6">
                  <c:v>219</c:v>
                </c:pt>
              </c:numCache>
            </c:numRef>
          </c:val>
          <c:extLst>
            <c:ext xmlns:c16="http://schemas.microsoft.com/office/drawing/2014/chart" uri="{C3380CC4-5D6E-409C-BE32-E72D297353CC}">
              <c16:uniqueId val="{00000001-03ED-42F9-B639-8C83BB0EB494}"/>
            </c:ext>
          </c:extLst>
        </c:ser>
        <c:ser>
          <c:idx val="2"/>
          <c:order val="2"/>
          <c:tx>
            <c:strRef>
              <c:f>SUMEXPEN!$R$213</c:f>
              <c:strCache>
                <c:ptCount val="1"/>
                <c:pt idx="0">
                  <c:v>2025-2026</c:v>
                </c:pt>
              </c:strCache>
            </c:strRef>
          </c:tx>
          <c:spPr>
            <a:solidFill>
              <a:srgbClr val="00B796"/>
            </a:solidFill>
            <a:ln>
              <a:solidFill>
                <a:srgbClr val="008269"/>
              </a:solidFill>
            </a:ln>
          </c:spPr>
          <c:invertIfNegative val="0"/>
          <c:dLbls>
            <c:delete val="1"/>
          </c:dLbls>
          <c:cat>
            <c:strRef>
              <c:f>(SUMEXPEN!$O$214:$O$219,SUMEXPEN!$O$221)</c:f>
              <c:strCache>
                <c:ptCount val="7"/>
                <c:pt idx="0">
                  <c:v>Instruction</c:v>
                </c:pt>
                <c:pt idx="1">
                  <c:v>Student Support</c:v>
                </c:pt>
                <c:pt idx="2">
                  <c:v>Instructional Support</c:v>
                </c:pt>
                <c:pt idx="3">
                  <c:v>Administration &amp; Support</c:v>
                </c:pt>
                <c:pt idx="4">
                  <c:v>Operations &amp; Maintenance</c:v>
                </c:pt>
                <c:pt idx="5">
                  <c:v>Transportation</c:v>
                </c:pt>
                <c:pt idx="6">
                  <c:v>Other Costs</c:v>
                </c:pt>
              </c:strCache>
            </c:strRef>
          </c:cat>
          <c:val>
            <c:numRef>
              <c:f>(SUMEXPEN!$R$214:$R$219,SUMEXPEN!$R$221)</c:f>
              <c:numCache>
                <c:formatCode>"$"#,##0</c:formatCode>
                <c:ptCount val="7"/>
                <c:pt idx="0">
                  <c:v>588606</c:v>
                </c:pt>
                <c:pt idx="1">
                  <c:v>0</c:v>
                </c:pt>
                <c:pt idx="2">
                  <c:v>100</c:v>
                </c:pt>
                <c:pt idx="3">
                  <c:v>249850</c:v>
                </c:pt>
                <c:pt idx="4">
                  <c:v>378442</c:v>
                </c:pt>
                <c:pt idx="5">
                  <c:v>69599</c:v>
                </c:pt>
                <c:pt idx="6">
                  <c:v>0</c:v>
                </c:pt>
              </c:numCache>
            </c:numRef>
          </c:val>
          <c:extLst>
            <c:ext xmlns:c16="http://schemas.microsoft.com/office/drawing/2014/chart" uri="{C3380CC4-5D6E-409C-BE32-E72D297353CC}">
              <c16:uniqueId val="{00000002-03ED-42F9-B639-8C83BB0EB494}"/>
            </c:ext>
          </c:extLst>
        </c:ser>
        <c:dLbls>
          <c:showLegendKey val="0"/>
          <c:showVal val="1"/>
          <c:showCatName val="0"/>
          <c:showSerName val="0"/>
          <c:showPercent val="0"/>
          <c:showBubbleSize val="0"/>
        </c:dLbls>
        <c:gapWidth val="150"/>
        <c:shape val="box"/>
        <c:axId val="128185088"/>
        <c:axId val="128186624"/>
        <c:axId val="0"/>
      </c:bar3DChart>
      <c:catAx>
        <c:axId val="128185088"/>
        <c:scaling>
          <c:orientation val="minMax"/>
        </c:scaling>
        <c:delete val="0"/>
        <c:axPos val="b"/>
        <c:numFmt formatCode="General" sourceLinked="1"/>
        <c:majorTickMark val="none"/>
        <c:minorTickMark val="none"/>
        <c:tickLblPos val="nextTo"/>
        <c:spPr>
          <a:noFill/>
        </c:spPr>
        <c:txPr>
          <a:bodyPr rot="-1860000" anchor="t" anchorCtr="0"/>
          <a:lstStyle/>
          <a:p>
            <a:pPr>
              <a:defRPr sz="900" b="0" baseline="0">
                <a:solidFill>
                  <a:sysClr val="windowText" lastClr="000000"/>
                </a:solidFill>
                <a:latin typeface="Arial" panose="020B0604020202020204" pitchFamily="34" charset="0"/>
                <a:ea typeface="Open Sans" panose="020B0606030504020204" pitchFamily="34" charset="0"/>
                <a:cs typeface="Arial" panose="020B0604020202020204" pitchFamily="34" charset="0"/>
              </a:defRPr>
            </a:pPr>
            <a:endParaRPr lang="en-US"/>
          </a:p>
        </c:txPr>
        <c:crossAx val="128186624"/>
        <c:crosses val="autoZero"/>
        <c:auto val="1"/>
        <c:lblAlgn val="ctr"/>
        <c:lblOffset val="100"/>
        <c:noMultiLvlLbl val="0"/>
      </c:catAx>
      <c:valAx>
        <c:axId val="128186624"/>
        <c:scaling>
          <c:orientation val="minMax"/>
        </c:scaling>
        <c:delete val="0"/>
        <c:axPos val="l"/>
        <c:majorGridlines>
          <c:spPr>
            <a:ln>
              <a:solidFill>
                <a:srgbClr val="53565A"/>
              </a:solidFill>
            </a:ln>
          </c:spPr>
        </c:majorGridlines>
        <c:numFmt formatCode="&quot;$&quot;#,##0" sourceLinked="1"/>
        <c:majorTickMark val="none"/>
        <c:minorTickMark val="none"/>
        <c:tickLblPos val="nextTo"/>
        <c:spPr>
          <a:ln>
            <a:solidFill>
              <a:srgbClr val="53565A"/>
            </a:solidFill>
          </a:ln>
        </c:spPr>
        <c:txPr>
          <a:bodyPr/>
          <a:lstStyle/>
          <a:p>
            <a:pPr>
              <a:defRPr sz="900" baseline="0">
                <a:latin typeface="Arial" panose="020B0604020202020204" pitchFamily="34" charset="0"/>
                <a:ea typeface="Open Sans" panose="020B0606030504020204" pitchFamily="34" charset="0"/>
                <a:cs typeface="Arial" panose="020B0604020202020204" pitchFamily="34" charset="0"/>
              </a:defRPr>
            </a:pPr>
            <a:endParaRPr lang="en-US"/>
          </a:p>
        </c:txPr>
        <c:crossAx val="128185088"/>
        <c:crosses val="autoZero"/>
        <c:crossBetween val="between"/>
      </c:valAx>
      <c:spPr>
        <a:solidFill>
          <a:schemeClr val="bg1"/>
        </a:solidFill>
        <a:ln>
          <a:noFill/>
        </a:ln>
      </c:spPr>
    </c:plotArea>
    <c:legend>
      <c:legendPos val="b"/>
      <c:layout>
        <c:manualLayout>
          <c:xMode val="edge"/>
          <c:yMode val="edge"/>
          <c:x val="0.22270653050911302"/>
          <c:y val="0.93296485285569453"/>
          <c:w val="0.54900130382798529"/>
          <c:h val="6.703514714430546E-2"/>
        </c:manualLayout>
      </c:layout>
      <c:overlay val="0"/>
      <c:txPr>
        <a:bodyPr/>
        <a:lstStyle/>
        <a:p>
          <a:pPr>
            <a:defRPr sz="900">
              <a:latin typeface="Arial" panose="020B0604020202020204" pitchFamily="34" charset="0"/>
              <a:cs typeface="Arial" panose="020B0604020202020204" pitchFamily="34" charset="0"/>
            </a:defRPr>
          </a:pPr>
          <a:endParaRPr lang="en-US"/>
        </a:p>
      </c:txPr>
    </c:legend>
    <c:plotVisOnly val="1"/>
    <c:dispBlanksAs val="gap"/>
    <c:showDLblsOverMax val="0"/>
  </c:chart>
  <c:spPr>
    <a:ln>
      <a:solidFill>
        <a:srgbClr val="53565A"/>
      </a:solidFill>
    </a:ln>
  </c:spPr>
  <c:printSettings>
    <c:headerFooter/>
    <c:pageMargins b="0.75" l="0.7" r="0.7" t="0.75" header="0.3" footer="0.3"/>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34"/>
    </mc:Choice>
    <mc:Fallback>
      <c:style val="34"/>
    </mc:Fallback>
  </mc:AlternateContent>
  <c:clrMapOvr bg1="lt1" tx1="dk1" bg2="lt2" tx2="dk2" accent1="accent1" accent2="accent2" accent3="accent3" accent4="accent4" accent5="accent5" accent6="accent6" hlink="hlink" folHlink="folHlink"/>
  <c:chart>
    <c:title>
      <c:tx>
        <c:rich>
          <a:bodyPr/>
          <a:lstStyle/>
          <a:p>
            <a:pPr>
              <a:defRPr sz="1050" b="0">
                <a:solidFill>
                  <a:srgbClr val="12284C"/>
                </a:solidFill>
                <a:latin typeface="Arial" panose="020B0604020202020204" pitchFamily="34" charset="0"/>
                <a:ea typeface="Open Sans Semibold" panose="020B0706030804020204" pitchFamily="34" charset="0"/>
                <a:cs typeface="Arial" panose="020B0604020202020204" pitchFamily="34" charset="0"/>
              </a:defRPr>
            </a:pPr>
            <a:r>
              <a:rPr lang="en-US" sz="1200">
                <a:solidFill>
                  <a:srgbClr val="12284C"/>
                </a:solidFill>
                <a:latin typeface="Arial" panose="020B0604020202020204" pitchFamily="34" charset="0"/>
                <a:ea typeface="Open Sans Semibold" panose="020B0706030804020204" pitchFamily="34" charset="0"/>
                <a:cs typeface="Arial" panose="020B0604020202020204" pitchFamily="34" charset="0"/>
              </a:rPr>
              <a:t>Mill Rates by Fund</a:t>
            </a:r>
          </a:p>
        </c:rich>
      </c:tx>
      <c:layout>
        <c:manualLayout>
          <c:xMode val="edge"/>
          <c:yMode val="edge"/>
          <c:x val="0.35369022001199507"/>
          <c:y val="6.5195396617323976E-3"/>
        </c:manualLayout>
      </c:layout>
      <c:overlay val="0"/>
    </c:title>
    <c:autoTitleDeleted val="0"/>
    <c:view3D>
      <c:rotX val="15"/>
      <c:rotY val="20"/>
      <c:depthPercent val="100"/>
      <c:rAngAx val="1"/>
    </c:view3D>
    <c:floor>
      <c:thickness val="0"/>
      <c:spPr>
        <a:gradFill flip="none" rotWithShape="1">
          <a:gsLst>
            <a:gs pos="0">
              <a:srgbClr val="12284C">
                <a:lumMod val="5000"/>
                <a:lumOff val="95000"/>
              </a:srgbClr>
            </a:gs>
            <a:gs pos="74000">
              <a:srgbClr val="12284C">
                <a:lumMod val="45000"/>
                <a:lumOff val="55000"/>
              </a:srgbClr>
            </a:gs>
            <a:gs pos="83000">
              <a:srgbClr val="12284C">
                <a:lumMod val="45000"/>
                <a:lumOff val="55000"/>
              </a:srgbClr>
            </a:gs>
            <a:gs pos="100000">
              <a:srgbClr val="12284C">
                <a:lumMod val="30000"/>
                <a:lumOff val="70000"/>
              </a:srgbClr>
            </a:gs>
          </a:gsLst>
          <a:path path="circle">
            <a:fillToRect l="100000" t="100000"/>
          </a:path>
          <a:tileRect r="-100000" b="-100000"/>
        </a:gradFill>
        <a:ln>
          <a:solidFill>
            <a:srgbClr val="12284C"/>
          </a:solidFill>
        </a:ln>
      </c:spPr>
    </c:floor>
    <c:sideWall>
      <c:thickness val="0"/>
      <c:spPr>
        <a:gradFill flip="none" rotWithShape="1">
          <a:gsLst>
            <a:gs pos="0">
              <a:srgbClr val="12284C">
                <a:lumMod val="5000"/>
                <a:lumOff val="95000"/>
              </a:srgbClr>
            </a:gs>
            <a:gs pos="74000">
              <a:srgbClr val="12284C">
                <a:lumMod val="45000"/>
                <a:lumOff val="55000"/>
              </a:srgbClr>
            </a:gs>
            <a:gs pos="83000">
              <a:srgbClr val="12284C">
                <a:lumMod val="45000"/>
                <a:lumOff val="55000"/>
              </a:srgbClr>
            </a:gs>
            <a:gs pos="100000">
              <a:srgbClr val="12284C">
                <a:lumMod val="30000"/>
                <a:lumOff val="70000"/>
              </a:srgbClr>
            </a:gs>
          </a:gsLst>
          <a:path path="circle">
            <a:fillToRect l="100000" t="100000"/>
          </a:path>
          <a:tileRect r="-100000" b="-100000"/>
        </a:gradFill>
        <a:ln>
          <a:solidFill>
            <a:srgbClr val="12284C"/>
          </a:solidFill>
        </a:ln>
      </c:spPr>
    </c:sideWall>
    <c:backWall>
      <c:thickness val="0"/>
      <c:spPr>
        <a:gradFill flip="none" rotWithShape="1">
          <a:gsLst>
            <a:gs pos="0">
              <a:srgbClr val="12284C">
                <a:lumMod val="5000"/>
                <a:lumOff val="95000"/>
              </a:srgbClr>
            </a:gs>
            <a:gs pos="74000">
              <a:srgbClr val="12284C">
                <a:lumMod val="45000"/>
                <a:lumOff val="55000"/>
              </a:srgbClr>
            </a:gs>
            <a:gs pos="83000">
              <a:srgbClr val="12284C">
                <a:lumMod val="45000"/>
                <a:lumOff val="55000"/>
              </a:srgbClr>
            </a:gs>
            <a:gs pos="100000">
              <a:srgbClr val="12284C">
                <a:lumMod val="30000"/>
                <a:lumOff val="70000"/>
              </a:srgbClr>
            </a:gs>
          </a:gsLst>
          <a:path path="circle">
            <a:fillToRect l="100000" t="100000"/>
          </a:path>
          <a:tileRect r="-100000" b="-100000"/>
        </a:gradFill>
        <a:ln>
          <a:solidFill>
            <a:srgbClr val="12284C"/>
          </a:solidFill>
        </a:ln>
      </c:spPr>
    </c:backWall>
    <c:plotArea>
      <c:layout>
        <c:manualLayout>
          <c:layoutTarget val="inner"/>
          <c:xMode val="edge"/>
          <c:yMode val="edge"/>
          <c:x val="8.3748312084597445E-2"/>
          <c:y val="0.18235846278690723"/>
          <c:w val="0.83965092165769695"/>
          <c:h val="0.47985238352634441"/>
        </c:manualLayout>
      </c:layout>
      <c:bar3DChart>
        <c:barDir val="col"/>
        <c:grouping val="clustered"/>
        <c:varyColors val="0"/>
        <c:ser>
          <c:idx val="0"/>
          <c:order val="0"/>
          <c:spPr>
            <a:solidFill>
              <a:srgbClr val="FFA400"/>
            </a:solidFill>
            <a:ln>
              <a:solidFill>
                <a:srgbClr val="D28700"/>
              </a:solidFill>
            </a:ln>
          </c:spPr>
          <c:invertIfNegative val="0"/>
          <c:dPt>
            <c:idx val="1"/>
            <c:invertIfNegative val="0"/>
            <c:bubble3D val="0"/>
            <c:spPr>
              <a:solidFill>
                <a:srgbClr val="12284C"/>
              </a:solidFill>
              <a:ln>
                <a:solidFill>
                  <a:srgbClr val="005587"/>
                </a:solidFill>
              </a:ln>
            </c:spPr>
            <c:extLst>
              <c:ext xmlns:c16="http://schemas.microsoft.com/office/drawing/2014/chart" uri="{C3380CC4-5D6E-409C-BE32-E72D297353CC}">
                <c16:uniqueId val="{00000000-7C02-461C-8044-8BBA83D0D858}"/>
              </c:ext>
            </c:extLst>
          </c:dPt>
          <c:dPt>
            <c:idx val="2"/>
            <c:invertIfNegative val="0"/>
            <c:bubble3D val="0"/>
            <c:spPr>
              <a:solidFill>
                <a:srgbClr val="00B796"/>
              </a:solidFill>
              <a:ln>
                <a:solidFill>
                  <a:srgbClr val="008269"/>
                </a:solidFill>
              </a:ln>
            </c:spPr>
            <c:extLst>
              <c:ext xmlns:c16="http://schemas.microsoft.com/office/drawing/2014/chart" uri="{C3380CC4-5D6E-409C-BE32-E72D297353CC}">
                <c16:uniqueId val="{00000006-EDD4-4779-933A-8E1FB733C78C}"/>
              </c:ext>
            </c:extLst>
          </c:dPt>
          <c:dPt>
            <c:idx val="3"/>
            <c:invertIfNegative val="0"/>
            <c:bubble3D val="0"/>
            <c:spPr>
              <a:solidFill>
                <a:srgbClr val="D50032"/>
              </a:solidFill>
              <a:ln>
                <a:solidFill>
                  <a:srgbClr val="B7312C"/>
                </a:solidFill>
              </a:ln>
            </c:spPr>
            <c:extLst>
              <c:ext xmlns:c16="http://schemas.microsoft.com/office/drawing/2014/chart" uri="{C3380CC4-5D6E-409C-BE32-E72D297353CC}">
                <c16:uniqueId val="{00000001-7C02-461C-8044-8BBA83D0D858}"/>
              </c:ext>
            </c:extLst>
          </c:dPt>
          <c:dPt>
            <c:idx val="4"/>
            <c:invertIfNegative val="0"/>
            <c:bubble3D val="0"/>
            <c:spPr>
              <a:solidFill>
                <a:srgbClr val="D28700"/>
              </a:solidFill>
              <a:ln>
                <a:solidFill>
                  <a:srgbClr val="FFA400"/>
                </a:solidFill>
              </a:ln>
            </c:spPr>
            <c:extLst>
              <c:ext xmlns:c16="http://schemas.microsoft.com/office/drawing/2014/chart" uri="{C3380CC4-5D6E-409C-BE32-E72D297353CC}">
                <c16:uniqueId val="{0000000B-EDD4-4779-933A-8E1FB733C78C}"/>
              </c:ext>
            </c:extLst>
          </c:dPt>
          <c:dPt>
            <c:idx val="5"/>
            <c:invertIfNegative val="0"/>
            <c:bubble3D val="0"/>
            <c:spPr>
              <a:solidFill>
                <a:srgbClr val="53565A"/>
              </a:solidFill>
              <a:ln>
                <a:solidFill>
                  <a:srgbClr val="C2C4C6"/>
                </a:solidFill>
              </a:ln>
            </c:spPr>
            <c:extLst>
              <c:ext xmlns:c16="http://schemas.microsoft.com/office/drawing/2014/chart" uri="{C3380CC4-5D6E-409C-BE32-E72D297353CC}">
                <c16:uniqueId val="{00000007-EDD4-4779-933A-8E1FB733C78C}"/>
              </c:ext>
            </c:extLst>
          </c:dPt>
          <c:dPt>
            <c:idx val="6"/>
            <c:invertIfNegative val="0"/>
            <c:bubble3D val="0"/>
            <c:spPr>
              <a:solidFill>
                <a:srgbClr val="008269"/>
              </a:solidFill>
              <a:ln>
                <a:solidFill>
                  <a:srgbClr val="00B796"/>
                </a:solidFill>
              </a:ln>
            </c:spPr>
            <c:extLst>
              <c:ext xmlns:c16="http://schemas.microsoft.com/office/drawing/2014/chart" uri="{C3380CC4-5D6E-409C-BE32-E72D297353CC}">
                <c16:uniqueId val="{00000008-EDD4-4779-933A-8E1FB733C78C}"/>
              </c:ext>
            </c:extLst>
          </c:dPt>
          <c:dPt>
            <c:idx val="7"/>
            <c:invertIfNegative val="0"/>
            <c:bubble3D val="0"/>
            <c:spPr>
              <a:solidFill>
                <a:srgbClr val="B7312C"/>
              </a:solidFill>
              <a:ln>
                <a:solidFill>
                  <a:srgbClr val="D50032"/>
                </a:solidFill>
              </a:ln>
            </c:spPr>
            <c:extLst>
              <c:ext xmlns:c16="http://schemas.microsoft.com/office/drawing/2014/chart" uri="{C3380CC4-5D6E-409C-BE32-E72D297353CC}">
                <c16:uniqueId val="{00000009-EDD4-4779-933A-8E1FB733C78C}"/>
              </c:ext>
            </c:extLst>
          </c:dPt>
          <c:dPt>
            <c:idx val="8"/>
            <c:invertIfNegative val="0"/>
            <c:bubble3D val="0"/>
            <c:spPr>
              <a:solidFill>
                <a:srgbClr val="005587"/>
              </a:solidFill>
              <a:ln>
                <a:solidFill>
                  <a:srgbClr val="12284C"/>
                </a:solidFill>
              </a:ln>
            </c:spPr>
            <c:extLst>
              <c:ext xmlns:c16="http://schemas.microsoft.com/office/drawing/2014/chart" uri="{C3380CC4-5D6E-409C-BE32-E72D297353CC}">
                <c16:uniqueId val="{0000000A-EDD4-4779-933A-8E1FB733C78C}"/>
              </c:ext>
            </c:extLst>
          </c:dPt>
          <c:dPt>
            <c:idx val="9"/>
            <c:invertIfNegative val="0"/>
            <c:bubble3D val="0"/>
            <c:spPr>
              <a:solidFill>
                <a:srgbClr val="C2C4C6"/>
              </a:solidFill>
              <a:ln>
                <a:solidFill>
                  <a:srgbClr val="53565A"/>
                </a:solidFill>
              </a:ln>
            </c:spPr>
            <c:extLst>
              <c:ext xmlns:c16="http://schemas.microsoft.com/office/drawing/2014/chart" uri="{C3380CC4-5D6E-409C-BE32-E72D297353CC}">
                <c16:uniqueId val="{00000002-7C02-461C-8044-8BBA83D0D858}"/>
              </c:ext>
            </c:extLst>
          </c:dPt>
          <c:dPt>
            <c:idx val="10"/>
            <c:invertIfNegative val="0"/>
            <c:bubble3D val="0"/>
            <c:spPr>
              <a:solidFill>
                <a:srgbClr val="9FFFED"/>
              </a:solidFill>
              <a:ln>
                <a:solidFill>
                  <a:srgbClr val="00B796"/>
                </a:solidFill>
              </a:ln>
            </c:spPr>
            <c:extLst>
              <c:ext xmlns:c16="http://schemas.microsoft.com/office/drawing/2014/chart" uri="{C3380CC4-5D6E-409C-BE32-E72D297353CC}">
                <c16:uniqueId val="{0000000C-EDD4-4779-933A-8E1FB733C78C}"/>
              </c:ext>
            </c:extLst>
          </c:dPt>
          <c:dPt>
            <c:idx val="11"/>
            <c:invertIfNegative val="0"/>
            <c:bubble3D val="0"/>
            <c:spPr>
              <a:solidFill>
                <a:srgbClr val="F7DEDD"/>
              </a:solidFill>
              <a:ln>
                <a:solidFill>
                  <a:srgbClr val="D50032"/>
                </a:solidFill>
              </a:ln>
            </c:spPr>
            <c:extLst>
              <c:ext xmlns:c16="http://schemas.microsoft.com/office/drawing/2014/chart" uri="{C3380CC4-5D6E-409C-BE32-E72D297353CC}">
                <c16:uniqueId val="{0000000D-EDD4-4779-933A-8E1FB733C78C}"/>
              </c:ext>
            </c:extLst>
          </c:dPt>
          <c:dPt>
            <c:idx val="12"/>
            <c:invertIfNegative val="0"/>
            <c:bubble3D val="0"/>
            <c:spPr>
              <a:solidFill>
                <a:srgbClr val="383A3C"/>
              </a:solidFill>
              <a:ln>
                <a:solidFill>
                  <a:srgbClr val="53565A"/>
                </a:solidFill>
              </a:ln>
            </c:spPr>
            <c:extLst>
              <c:ext xmlns:c16="http://schemas.microsoft.com/office/drawing/2014/chart" uri="{C3380CC4-5D6E-409C-BE32-E72D297353CC}">
                <c16:uniqueId val="{0000000E-EDD4-4779-933A-8E1FB733C78C}"/>
              </c:ext>
            </c:extLst>
          </c:dPt>
          <c:dLbls>
            <c:delete val="1"/>
          </c:dLbls>
          <c:cat>
            <c:strRef>
              <c:f>(SUMEXPEN!$O$1377:$O$1380,SUMEXPEN!$O$1382:$O$1390)</c:f>
              <c:strCache>
                <c:ptCount val="9"/>
                <c:pt idx="0">
                  <c:v>General</c:v>
                </c:pt>
                <c:pt idx="1">
                  <c:v>Supplemental General</c:v>
                </c:pt>
                <c:pt idx="3">
                  <c:v>Capital Outlay</c:v>
                </c:pt>
                <c:pt idx="8">
                  <c:v>Bond and Interest #1</c:v>
                </c:pt>
              </c:strCache>
            </c:strRef>
          </c:cat>
          <c:val>
            <c:numRef>
              <c:f>(SUMEXPEN!$P$1377:$P$1380,SUMEXPEN!$P$1382:$P$1390)</c:f>
              <c:numCache>
                <c:formatCode>#,##0.000</c:formatCode>
                <c:ptCount val="13"/>
                <c:pt idx="0">
                  <c:v>20</c:v>
                </c:pt>
                <c:pt idx="1">
                  <c:v>23.21</c:v>
                </c:pt>
                <c:pt idx="2">
                  <c:v>#N/A</c:v>
                </c:pt>
                <c:pt idx="3">
                  <c:v>8</c:v>
                </c:pt>
                <c:pt idx="4">
                  <c:v>#N/A</c:v>
                </c:pt>
                <c:pt idx="5">
                  <c:v>#N/A</c:v>
                </c:pt>
                <c:pt idx="6">
                  <c:v>#N/A</c:v>
                </c:pt>
                <c:pt idx="7">
                  <c:v>#N/A</c:v>
                </c:pt>
                <c:pt idx="8">
                  <c:v>8.5180000000000007</c:v>
                </c:pt>
                <c:pt idx="9">
                  <c:v>#N/A</c:v>
                </c:pt>
                <c:pt idx="10">
                  <c:v>#N/A</c:v>
                </c:pt>
                <c:pt idx="11">
                  <c:v>#N/A</c:v>
                </c:pt>
                <c:pt idx="12">
                  <c:v>#N/A</c:v>
                </c:pt>
              </c:numCache>
            </c:numRef>
          </c:val>
          <c:extLst>
            <c:ext xmlns:c16="http://schemas.microsoft.com/office/drawing/2014/chart" uri="{C3380CC4-5D6E-409C-BE32-E72D297353CC}">
              <c16:uniqueId val="{00000000-03ED-42F9-B639-8C83BB0EB494}"/>
            </c:ext>
          </c:extLst>
        </c:ser>
        <c:dLbls>
          <c:showLegendKey val="0"/>
          <c:showVal val="1"/>
          <c:showCatName val="0"/>
          <c:showSerName val="0"/>
          <c:showPercent val="0"/>
          <c:showBubbleSize val="0"/>
        </c:dLbls>
        <c:gapWidth val="150"/>
        <c:shape val="box"/>
        <c:axId val="128185088"/>
        <c:axId val="128186624"/>
        <c:axId val="0"/>
      </c:bar3DChart>
      <c:catAx>
        <c:axId val="128185088"/>
        <c:scaling>
          <c:orientation val="minMax"/>
        </c:scaling>
        <c:delete val="0"/>
        <c:axPos val="b"/>
        <c:numFmt formatCode="General" sourceLinked="1"/>
        <c:majorTickMark val="none"/>
        <c:minorTickMark val="none"/>
        <c:tickLblPos val="nextTo"/>
        <c:spPr>
          <a:noFill/>
        </c:spPr>
        <c:txPr>
          <a:bodyPr rot="-1980000" anchor="t" anchorCtr="0"/>
          <a:lstStyle/>
          <a:p>
            <a:pPr>
              <a:defRPr sz="900" b="0" baseline="0">
                <a:solidFill>
                  <a:sysClr val="windowText" lastClr="000000"/>
                </a:solidFill>
                <a:latin typeface="Arial" panose="020B0604020202020204" pitchFamily="34" charset="0"/>
                <a:ea typeface="Open Sans" panose="020B0606030504020204" pitchFamily="34" charset="0"/>
                <a:cs typeface="Arial" panose="020B0604020202020204" pitchFamily="34" charset="0"/>
              </a:defRPr>
            </a:pPr>
            <a:endParaRPr lang="en-US"/>
          </a:p>
        </c:txPr>
        <c:crossAx val="128186624"/>
        <c:crosses val="autoZero"/>
        <c:auto val="1"/>
        <c:lblAlgn val="ctr"/>
        <c:lblOffset val="100"/>
        <c:noMultiLvlLbl val="0"/>
      </c:catAx>
      <c:valAx>
        <c:axId val="128186624"/>
        <c:scaling>
          <c:orientation val="minMax"/>
          <c:max val="20"/>
        </c:scaling>
        <c:delete val="0"/>
        <c:axPos val="l"/>
        <c:majorGridlines>
          <c:spPr>
            <a:ln>
              <a:solidFill>
                <a:srgbClr val="53565A"/>
              </a:solidFill>
            </a:ln>
          </c:spPr>
        </c:majorGridlines>
        <c:numFmt formatCode="#,##0.000" sourceLinked="0"/>
        <c:majorTickMark val="none"/>
        <c:minorTickMark val="none"/>
        <c:tickLblPos val="nextTo"/>
        <c:spPr>
          <a:ln>
            <a:solidFill>
              <a:srgbClr val="53565A"/>
            </a:solidFill>
          </a:ln>
        </c:spPr>
        <c:txPr>
          <a:bodyPr/>
          <a:lstStyle/>
          <a:p>
            <a:pPr>
              <a:defRPr sz="900" baseline="0">
                <a:latin typeface="Arial" panose="020B0604020202020204" pitchFamily="34" charset="0"/>
                <a:ea typeface="Open Sans" panose="020B0606030504020204" pitchFamily="34" charset="0"/>
                <a:cs typeface="Arial" panose="020B0604020202020204" pitchFamily="34" charset="0"/>
              </a:defRPr>
            </a:pPr>
            <a:endParaRPr lang="en-US"/>
          </a:p>
        </c:txPr>
        <c:crossAx val="128185088"/>
        <c:crosses val="autoZero"/>
        <c:crossBetween val="between"/>
      </c:valAx>
      <c:spPr>
        <a:solidFill>
          <a:schemeClr val="bg1"/>
        </a:solidFill>
        <a:ln>
          <a:noFill/>
        </a:ln>
      </c:spPr>
    </c:plotArea>
    <c:plotVisOnly val="1"/>
    <c:dispBlanksAs val="gap"/>
    <c:showDLblsOverMax val="0"/>
  </c:chart>
  <c:spPr>
    <a:ln>
      <a:solidFill>
        <a:srgbClr val="53565A"/>
      </a:solidFill>
    </a:ln>
  </c:spPr>
  <c:printSettings>
    <c:headerFooter/>
    <c:pageMargins b="0.75" l="0.7" r="0.7" t="0.75" header="0.3" footer="0.3"/>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34"/>
    </mc:Choice>
    <mc:Fallback>
      <c:style val="34"/>
    </mc:Fallback>
  </mc:AlternateContent>
  <c:clrMapOvr bg1="lt1" tx1="dk1" bg2="lt2" tx2="dk2" accent1="accent1" accent2="accent2" accent3="accent3" accent4="accent4" accent5="accent5" accent6="accent6" hlink="hlink" folHlink="folHlink"/>
  <c:chart>
    <c:title>
      <c:tx>
        <c:rich>
          <a:bodyPr/>
          <a:lstStyle/>
          <a:p>
            <a:pPr>
              <a:defRPr sz="1400" b="0">
                <a:solidFill>
                  <a:srgbClr val="00B796"/>
                </a:solidFill>
                <a:latin typeface="Open Sans Semibold" panose="020B0706030804020204" pitchFamily="34" charset="0"/>
                <a:ea typeface="Open Sans Semibold" panose="020B0706030804020204" pitchFamily="34" charset="0"/>
                <a:cs typeface="Open Sans Semibold" panose="020B0706030804020204" pitchFamily="34" charset="0"/>
              </a:defRPr>
            </a:pPr>
            <a:r>
              <a:rPr lang="en-US">
                <a:solidFill>
                  <a:srgbClr val="B7312C"/>
                </a:solidFill>
                <a:latin typeface="Arial" panose="020B0604020202020204" pitchFamily="34" charset="0"/>
                <a:ea typeface="Open Sans Semibold" panose="020B0706030804020204" pitchFamily="34" charset="0"/>
                <a:cs typeface="Arial" panose="020B0604020202020204" pitchFamily="34" charset="0"/>
              </a:rPr>
              <a:t>Summary of Total Expenditures by Function (All Funds)</a:t>
            </a:r>
          </a:p>
        </c:rich>
      </c:tx>
      <c:overlay val="0"/>
    </c:title>
    <c:autoTitleDeleted val="0"/>
    <c:view3D>
      <c:rotX val="15"/>
      <c:rotY val="20"/>
      <c:depthPercent val="100"/>
      <c:rAngAx val="1"/>
    </c:view3D>
    <c:floor>
      <c:thickness val="0"/>
      <c:spPr>
        <a:gradFill flip="none" rotWithShape="1">
          <a:gsLst>
            <a:gs pos="0">
              <a:srgbClr val="12284C">
                <a:lumMod val="5000"/>
                <a:lumOff val="95000"/>
              </a:srgbClr>
            </a:gs>
            <a:gs pos="74000">
              <a:srgbClr val="12284C">
                <a:lumMod val="45000"/>
                <a:lumOff val="55000"/>
              </a:srgbClr>
            </a:gs>
            <a:gs pos="83000">
              <a:srgbClr val="12284C">
                <a:lumMod val="45000"/>
                <a:lumOff val="55000"/>
              </a:srgbClr>
            </a:gs>
            <a:gs pos="100000">
              <a:srgbClr val="12284C">
                <a:lumMod val="30000"/>
                <a:lumOff val="70000"/>
              </a:srgbClr>
            </a:gs>
          </a:gsLst>
          <a:path path="circle">
            <a:fillToRect l="100000" t="100000"/>
          </a:path>
          <a:tileRect r="-100000" b="-100000"/>
        </a:gradFill>
        <a:ln>
          <a:solidFill>
            <a:srgbClr val="12284C"/>
          </a:solidFill>
        </a:ln>
      </c:spPr>
    </c:floor>
    <c:sideWall>
      <c:thickness val="0"/>
      <c:spPr>
        <a:gradFill flip="none" rotWithShape="1">
          <a:gsLst>
            <a:gs pos="0">
              <a:srgbClr val="12284C">
                <a:lumMod val="5000"/>
                <a:lumOff val="95000"/>
              </a:srgbClr>
            </a:gs>
            <a:gs pos="74000">
              <a:srgbClr val="12284C">
                <a:lumMod val="45000"/>
                <a:lumOff val="55000"/>
              </a:srgbClr>
            </a:gs>
            <a:gs pos="83000">
              <a:srgbClr val="12284C">
                <a:lumMod val="45000"/>
                <a:lumOff val="55000"/>
              </a:srgbClr>
            </a:gs>
            <a:gs pos="100000">
              <a:srgbClr val="12284C">
                <a:lumMod val="30000"/>
                <a:lumOff val="70000"/>
              </a:srgbClr>
            </a:gs>
          </a:gsLst>
          <a:path path="circle">
            <a:fillToRect l="100000" t="100000"/>
          </a:path>
          <a:tileRect r="-100000" b="-100000"/>
        </a:gradFill>
        <a:ln>
          <a:solidFill>
            <a:srgbClr val="12284C"/>
          </a:solidFill>
        </a:ln>
      </c:spPr>
    </c:sideWall>
    <c:backWall>
      <c:thickness val="0"/>
      <c:spPr>
        <a:gradFill flip="none" rotWithShape="1">
          <a:gsLst>
            <a:gs pos="0">
              <a:srgbClr val="12284C">
                <a:lumMod val="5000"/>
                <a:lumOff val="95000"/>
              </a:srgbClr>
            </a:gs>
            <a:gs pos="74000">
              <a:srgbClr val="12284C">
                <a:lumMod val="45000"/>
                <a:lumOff val="55000"/>
              </a:srgbClr>
            </a:gs>
            <a:gs pos="83000">
              <a:srgbClr val="12284C">
                <a:lumMod val="45000"/>
                <a:lumOff val="55000"/>
              </a:srgbClr>
            </a:gs>
            <a:gs pos="100000">
              <a:srgbClr val="12284C">
                <a:lumMod val="30000"/>
                <a:lumOff val="70000"/>
              </a:srgbClr>
            </a:gs>
          </a:gsLst>
          <a:path path="circle">
            <a:fillToRect l="100000" t="100000"/>
          </a:path>
          <a:tileRect r="-100000" b="-100000"/>
        </a:gradFill>
        <a:ln>
          <a:solidFill>
            <a:srgbClr val="12284C"/>
          </a:solidFill>
        </a:ln>
      </c:spPr>
    </c:backWall>
    <c:plotArea>
      <c:layout>
        <c:manualLayout>
          <c:layoutTarget val="inner"/>
          <c:xMode val="edge"/>
          <c:yMode val="edge"/>
          <c:x val="7.2835046345621199E-2"/>
          <c:y val="0.15406235123945808"/>
          <c:w val="0.82797458008469327"/>
          <c:h val="0.56952256308102667"/>
        </c:manualLayout>
      </c:layout>
      <c:bar3DChart>
        <c:barDir val="col"/>
        <c:grouping val="clustered"/>
        <c:varyColors val="0"/>
        <c:ser>
          <c:idx val="0"/>
          <c:order val="0"/>
          <c:tx>
            <c:strRef>
              <c:f>SUMEXPEN!$P$31</c:f>
              <c:strCache>
                <c:ptCount val="1"/>
                <c:pt idx="0">
                  <c:v>2023-2024</c:v>
                </c:pt>
              </c:strCache>
            </c:strRef>
          </c:tx>
          <c:spPr>
            <a:solidFill>
              <a:srgbClr val="FFA400"/>
            </a:solidFill>
            <a:ln>
              <a:solidFill>
                <a:srgbClr val="D28700"/>
              </a:solidFill>
            </a:ln>
          </c:spPr>
          <c:invertIfNegative val="0"/>
          <c:dLbls>
            <c:dLbl>
              <c:idx val="0"/>
              <c:layout>
                <c:manualLayout>
                  <c:x val="-2.7293364173900086E-3"/>
                  <c:y val="-8.1510395156591517E-2"/>
                </c:manualLayout>
              </c:layout>
              <c:spPr>
                <a:noFill/>
                <a:ln>
                  <a:noFill/>
                </a:ln>
                <a:effectLst/>
              </c:spPr>
              <c:txPr>
                <a:bodyPr rot="-5400000" vertOverflow="clip" horzOverflow="clip" vert="horz" wrap="square" lIns="0" tIns="0" rIns="0" bIns="0" numCol="1" spcCol="0" anchor="ctr" anchorCtr="0">
                  <a:noAutofit/>
                </a:bodyPr>
                <a:lstStyle/>
                <a:p>
                  <a:pPr algn="l">
                    <a:defRPr sz="900">
                      <a:latin typeface="Arial" panose="020B0604020202020204" pitchFamily="34" charset="0"/>
                      <a:ea typeface="Open Sans Light" panose="020B0306030504020204" pitchFamily="34" charset="0"/>
                      <a:cs typeface="Arial" panose="020B0604020202020204" pitchFamily="34" charset="0"/>
                    </a:defRPr>
                  </a:pPr>
                  <a:endParaRPr lang="en-US"/>
                </a:p>
              </c:txPr>
              <c:showLegendKey val="0"/>
              <c:showVal val="1"/>
              <c:showCatName val="0"/>
              <c:showSerName val="0"/>
              <c:showPercent val="0"/>
              <c:showBubbleSize val="0"/>
              <c:extLst>
                <c:ext xmlns:c15="http://schemas.microsoft.com/office/drawing/2012/chart" uri="{CE6537A1-D6FC-4f65-9D91-7224C49458BB}">
                  <c15:layout>
                    <c:manualLayout>
                      <c:w val="8.2231374097685078E-2"/>
                      <c:h val="6.763604785366191E-2"/>
                    </c:manualLayout>
                  </c15:layout>
                </c:ext>
                <c:ext xmlns:c16="http://schemas.microsoft.com/office/drawing/2014/chart" uri="{C3380CC4-5D6E-409C-BE32-E72D297353CC}">
                  <c16:uniqueId val="{00000000-3095-4589-AE5A-68D1D0B2F782}"/>
                </c:ext>
              </c:extLst>
            </c:dLbl>
            <c:spPr>
              <a:noFill/>
              <a:ln>
                <a:noFill/>
              </a:ln>
              <a:effectLst/>
            </c:spPr>
            <c:txPr>
              <a:bodyPr rot="-5400000" vertOverflow="clip" horzOverflow="clip" vert="horz" wrap="square" lIns="0" tIns="0" rIns="0" bIns="0" numCol="1" spcCol="0" anchor="ctr" anchorCtr="0">
                <a:spAutoFit/>
              </a:bodyPr>
              <a:lstStyle/>
              <a:p>
                <a:pPr algn="l">
                  <a:defRPr sz="900">
                    <a:latin typeface="Arial" panose="020B0604020202020204" pitchFamily="34" charset="0"/>
                    <a:ea typeface="Open Sans Light" panose="020B0306030504020204" pitchFamily="34" charset="0"/>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cat>
            <c:strRef>
              <c:f>SUMEXPEN!$O$32:$O$41</c:f>
              <c:strCache>
                <c:ptCount val="10"/>
                <c:pt idx="0">
                  <c:v>Instruction</c:v>
                </c:pt>
                <c:pt idx="1">
                  <c:v>Student Support Services</c:v>
                </c:pt>
                <c:pt idx="2">
                  <c:v>Instructional Support Services</c:v>
                </c:pt>
                <c:pt idx="3">
                  <c:v>Administration &amp; Support</c:v>
                </c:pt>
                <c:pt idx="4">
                  <c:v>Operations &amp; Maintenance</c:v>
                </c:pt>
                <c:pt idx="5">
                  <c:v>Transportation</c:v>
                </c:pt>
                <c:pt idx="6">
                  <c:v>Food Services</c:v>
                </c:pt>
                <c:pt idx="7">
                  <c:v>Capital Improvements</c:v>
                </c:pt>
                <c:pt idx="8">
                  <c:v>Debt Services</c:v>
                </c:pt>
                <c:pt idx="9">
                  <c:v>Other Costs</c:v>
                </c:pt>
              </c:strCache>
            </c:strRef>
          </c:cat>
          <c:val>
            <c:numRef>
              <c:f>SUMEXPEN!$P$32:$P$41</c:f>
              <c:numCache>
                <c:formatCode>"$"#,##0</c:formatCode>
                <c:ptCount val="10"/>
                <c:pt idx="0">
                  <c:v>938685</c:v>
                </c:pt>
                <c:pt idx="1">
                  <c:v>2063</c:v>
                </c:pt>
                <c:pt idx="2">
                  <c:v>1258</c:v>
                </c:pt>
                <c:pt idx="3">
                  <c:v>256195</c:v>
                </c:pt>
                <c:pt idx="4">
                  <c:v>397475</c:v>
                </c:pt>
                <c:pt idx="5">
                  <c:v>54953</c:v>
                </c:pt>
                <c:pt idx="6">
                  <c:v>122157</c:v>
                </c:pt>
                <c:pt idx="7">
                  <c:v>39926</c:v>
                </c:pt>
                <c:pt idx="8">
                  <c:v>153725</c:v>
                </c:pt>
                <c:pt idx="9">
                  <c:v>7174</c:v>
                </c:pt>
              </c:numCache>
            </c:numRef>
          </c:val>
          <c:extLst>
            <c:ext xmlns:c16="http://schemas.microsoft.com/office/drawing/2014/chart" uri="{C3380CC4-5D6E-409C-BE32-E72D297353CC}">
              <c16:uniqueId val="{00000001-3095-4589-AE5A-68D1D0B2F782}"/>
            </c:ext>
          </c:extLst>
        </c:ser>
        <c:ser>
          <c:idx val="1"/>
          <c:order val="1"/>
          <c:tx>
            <c:strRef>
              <c:f>SUMEXPEN!$Q$31</c:f>
              <c:strCache>
                <c:ptCount val="1"/>
                <c:pt idx="0">
                  <c:v>2024-2025</c:v>
                </c:pt>
              </c:strCache>
            </c:strRef>
          </c:tx>
          <c:spPr>
            <a:solidFill>
              <a:srgbClr val="D50032"/>
            </a:solidFill>
            <a:ln>
              <a:solidFill>
                <a:srgbClr val="B7312C"/>
              </a:solidFill>
            </a:ln>
          </c:spPr>
          <c:invertIfNegative val="0"/>
          <c:dLbls>
            <c:dLbl>
              <c:idx val="0"/>
              <c:layout>
                <c:manualLayout>
                  <c:x val="5.3729210153746133E-8"/>
                  <c:y val="-9.2142185829190371E-2"/>
                </c:manualLayout>
              </c:layout>
              <c:spPr>
                <a:noFill/>
                <a:ln>
                  <a:noFill/>
                </a:ln>
                <a:effectLst/>
              </c:spPr>
              <c:txPr>
                <a:bodyPr rot="-5400000" vertOverflow="clip" horzOverflow="clip" vert="horz" wrap="square" lIns="38100" tIns="19050" rIns="38100" bIns="19050" anchor="ctr" anchorCtr="0">
                  <a:noAutofit/>
                </a:bodyPr>
                <a:lstStyle/>
                <a:p>
                  <a:pPr algn="l">
                    <a:defRPr sz="900">
                      <a:latin typeface="Arial" panose="020B0604020202020204" pitchFamily="34" charset="0"/>
                      <a:ea typeface="Open Sans Light" panose="020B0306030504020204" pitchFamily="34" charset="0"/>
                      <a:cs typeface="Arial" panose="020B0604020202020204" pitchFamily="34" charset="0"/>
                    </a:defRPr>
                  </a:pPr>
                  <a:endParaRPr lang="en-US"/>
                </a:p>
              </c:txPr>
              <c:showLegendKey val="0"/>
              <c:showVal val="1"/>
              <c:showCatName val="0"/>
              <c:showSerName val="0"/>
              <c:showPercent val="0"/>
              <c:showBubbleSize val="0"/>
              <c:extLst>
                <c:ext xmlns:c15="http://schemas.microsoft.com/office/drawing/2012/chart" uri="{CE6537A1-D6FC-4f65-9D91-7224C49458BB}">
                  <c15:layout>
                    <c:manualLayout>
                      <c:w val="9.3149149600926281E-2"/>
                      <c:h val="5.346032695686339E-2"/>
                    </c:manualLayout>
                  </c15:layout>
                </c:ext>
                <c:ext xmlns:c16="http://schemas.microsoft.com/office/drawing/2014/chart" uri="{C3380CC4-5D6E-409C-BE32-E72D297353CC}">
                  <c16:uniqueId val="{00000002-3095-4589-AE5A-68D1D0B2F782}"/>
                </c:ext>
              </c:extLst>
            </c:dLbl>
            <c:spPr>
              <a:noFill/>
              <a:ln>
                <a:noFill/>
              </a:ln>
              <a:effectLst/>
            </c:spPr>
            <c:txPr>
              <a:bodyPr rot="-5400000" vertOverflow="clip" horzOverflow="clip" vert="horz" wrap="square" lIns="38100" tIns="19050" rIns="38100" bIns="19050" anchor="ctr" anchorCtr="0">
                <a:spAutoFit/>
              </a:bodyPr>
              <a:lstStyle/>
              <a:p>
                <a:pPr algn="l">
                  <a:defRPr sz="900">
                    <a:latin typeface="Arial" panose="020B0604020202020204" pitchFamily="34" charset="0"/>
                    <a:ea typeface="Open Sans Light" panose="020B0306030504020204" pitchFamily="34" charset="0"/>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SUMEXPEN!$O$32:$O$41</c:f>
              <c:strCache>
                <c:ptCount val="10"/>
                <c:pt idx="0">
                  <c:v>Instruction</c:v>
                </c:pt>
                <c:pt idx="1">
                  <c:v>Student Support Services</c:v>
                </c:pt>
                <c:pt idx="2">
                  <c:v>Instructional Support Services</c:v>
                </c:pt>
                <c:pt idx="3">
                  <c:v>Administration &amp; Support</c:v>
                </c:pt>
                <c:pt idx="4">
                  <c:v>Operations &amp; Maintenance</c:v>
                </c:pt>
                <c:pt idx="5">
                  <c:v>Transportation</c:v>
                </c:pt>
                <c:pt idx="6">
                  <c:v>Food Services</c:v>
                </c:pt>
                <c:pt idx="7">
                  <c:v>Capital Improvements</c:v>
                </c:pt>
                <c:pt idx="8">
                  <c:v>Debt Services</c:v>
                </c:pt>
                <c:pt idx="9">
                  <c:v>Other Costs</c:v>
                </c:pt>
              </c:strCache>
            </c:strRef>
          </c:cat>
          <c:val>
            <c:numRef>
              <c:f>SUMEXPEN!$Q$32:$Q$41</c:f>
              <c:numCache>
                <c:formatCode>"$"#,##0</c:formatCode>
                <c:ptCount val="10"/>
                <c:pt idx="0">
                  <c:v>1968697</c:v>
                </c:pt>
                <c:pt idx="1">
                  <c:v>267</c:v>
                </c:pt>
                <c:pt idx="2">
                  <c:v>240</c:v>
                </c:pt>
                <c:pt idx="3">
                  <c:v>263732</c:v>
                </c:pt>
                <c:pt idx="4">
                  <c:v>693565</c:v>
                </c:pt>
                <c:pt idx="5">
                  <c:v>58431</c:v>
                </c:pt>
                <c:pt idx="6">
                  <c:v>133439</c:v>
                </c:pt>
                <c:pt idx="7">
                  <c:v>0</c:v>
                </c:pt>
                <c:pt idx="8">
                  <c:v>154900</c:v>
                </c:pt>
                <c:pt idx="9">
                  <c:v>219</c:v>
                </c:pt>
              </c:numCache>
            </c:numRef>
          </c:val>
          <c:extLst>
            <c:ext xmlns:c16="http://schemas.microsoft.com/office/drawing/2014/chart" uri="{C3380CC4-5D6E-409C-BE32-E72D297353CC}">
              <c16:uniqueId val="{00000003-3095-4589-AE5A-68D1D0B2F782}"/>
            </c:ext>
          </c:extLst>
        </c:ser>
        <c:ser>
          <c:idx val="2"/>
          <c:order val="2"/>
          <c:tx>
            <c:strRef>
              <c:f>SUMEXPEN!$R$31</c:f>
              <c:strCache>
                <c:ptCount val="1"/>
                <c:pt idx="0">
                  <c:v>2025-2026</c:v>
                </c:pt>
              </c:strCache>
            </c:strRef>
          </c:tx>
          <c:spPr>
            <a:solidFill>
              <a:srgbClr val="00B796"/>
            </a:solidFill>
            <a:ln>
              <a:solidFill>
                <a:srgbClr val="008269"/>
              </a:solidFill>
            </a:ln>
          </c:spPr>
          <c:invertIfNegative val="0"/>
          <c:dLbls>
            <c:dLbl>
              <c:idx val="0"/>
              <c:layout>
                <c:manualLayout>
                  <c:x val="3.7037698779965739E-3"/>
                  <c:y val="2.9239458119876848E-3"/>
                </c:manualLayout>
              </c:layout>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4-3095-4589-AE5A-68D1D0B2F782}"/>
                </c:ext>
              </c:extLst>
            </c:dLbl>
            <c:dLbl>
              <c:idx val="1"/>
              <c:layout>
                <c:manualLayout>
                  <c:x val="3.843501944714554E-3"/>
                  <c:y val="2.1330480127978724E-3"/>
                </c:manualLayout>
              </c:layout>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5-3095-4589-AE5A-68D1D0B2F782}"/>
                </c:ext>
              </c:extLst>
            </c:dLbl>
            <c:dLbl>
              <c:idx val="2"/>
              <c:layout>
                <c:manualLayout>
                  <c:x val="5.6487475897410164E-3"/>
                  <c:y val="-5.7825192695241242E-3"/>
                </c:manualLayout>
              </c:layout>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6-3095-4589-AE5A-68D1D0B2F782}"/>
                </c:ext>
              </c:extLst>
            </c:dLbl>
            <c:dLbl>
              <c:idx val="3"/>
              <c:layout>
                <c:manualLayout>
                  <c:x val="3.7968411209221118E-3"/>
                  <c:y val="-8.9265161116074219E-3"/>
                </c:manualLayout>
              </c:layout>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7-3095-4589-AE5A-68D1D0B2F782}"/>
                </c:ext>
              </c:extLst>
            </c:dLbl>
            <c:dLbl>
              <c:idx val="4"/>
              <c:layout>
                <c:manualLayout>
                  <c:x val="7.4853050888708927E-3"/>
                  <c:y val="2.0729899705447022E-3"/>
                </c:manualLayout>
              </c:layout>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8-3095-4589-AE5A-68D1D0B2F782}"/>
                </c:ext>
              </c:extLst>
            </c:dLbl>
            <c:dLbl>
              <c:idx val="5"/>
              <c:layout>
                <c:manualLayout>
                  <c:x val="7.0417653226110587E-3"/>
                  <c:y val="1.1675166830514897E-4"/>
                </c:manualLayout>
              </c:layout>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9-3095-4589-AE5A-68D1D0B2F782}"/>
                </c:ext>
              </c:extLst>
            </c:dLbl>
            <c:dLbl>
              <c:idx val="6"/>
              <c:layout>
                <c:manualLayout>
                  <c:x val="5.6487475897408794E-3"/>
                  <c:y val="-5.7825192695241242E-3"/>
                </c:manualLayout>
              </c:layout>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A-3095-4589-AE5A-68D1D0B2F782}"/>
                </c:ext>
              </c:extLst>
            </c:dLbl>
            <c:dLbl>
              <c:idx val="7"/>
              <c:layout>
                <c:manualLayout>
                  <c:x val="3.1199477752077306E-3"/>
                  <c:y val="-9.0172095484084124E-3"/>
                </c:manualLayout>
              </c:layout>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B-3095-4589-AE5A-68D1D0B2F782}"/>
                </c:ext>
              </c:extLst>
            </c:dLbl>
            <c:dLbl>
              <c:idx val="8"/>
              <c:layout>
                <c:manualLayout>
                  <c:x val="4.8750661540899014E-3"/>
                  <c:y val="-8.4211595516453883E-3"/>
                </c:manualLayout>
              </c:layout>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C-3095-4589-AE5A-68D1D0B2F782}"/>
                </c:ext>
              </c:extLst>
            </c:dLbl>
            <c:spPr>
              <a:noFill/>
              <a:ln>
                <a:noFill/>
              </a:ln>
              <a:effectLst/>
            </c:spPr>
            <c:txPr>
              <a:bodyPr rot="-5400000" vertOverflow="clip" horzOverflow="clip" vert="horz" wrap="square" lIns="38100" tIns="19050" rIns="38100" bIns="19050" anchor="ctr" anchorCtr="0">
                <a:spAutoFit/>
              </a:bodyPr>
              <a:lstStyle/>
              <a:p>
                <a:pPr algn="l">
                  <a:defRPr sz="900">
                    <a:latin typeface="Arial" panose="020B0604020202020204" pitchFamily="34" charset="0"/>
                    <a:ea typeface="Open Sans Light" panose="020B0306030504020204" pitchFamily="34" charset="0"/>
                    <a:cs typeface="Arial" panose="020B0604020202020204" pitchFamily="34" charset="0"/>
                  </a:defRPr>
                </a:pPr>
                <a:endParaRPr lang="en-US"/>
              </a:p>
            </c:txPr>
            <c:showLegendKey val="0"/>
            <c:showVal val="1"/>
            <c:showCatName val="0"/>
            <c:showSerName val="0"/>
            <c:showPercent val="0"/>
            <c:showBubbleSize val="0"/>
            <c:separator> </c:separator>
            <c:showLeaderLines val="0"/>
            <c:extLst>
              <c:ext xmlns:c15="http://schemas.microsoft.com/office/drawing/2012/chart" uri="{CE6537A1-D6FC-4f65-9D91-7224C49458BB}">
                <c15:showLeaderLines val="0"/>
              </c:ext>
            </c:extLst>
          </c:dLbls>
          <c:cat>
            <c:strRef>
              <c:f>SUMEXPEN!$O$32:$O$41</c:f>
              <c:strCache>
                <c:ptCount val="10"/>
                <c:pt idx="0">
                  <c:v>Instruction</c:v>
                </c:pt>
                <c:pt idx="1">
                  <c:v>Student Support Services</c:v>
                </c:pt>
                <c:pt idx="2">
                  <c:v>Instructional Support Services</c:v>
                </c:pt>
                <c:pt idx="3">
                  <c:v>Administration &amp; Support</c:v>
                </c:pt>
                <c:pt idx="4">
                  <c:v>Operations &amp; Maintenance</c:v>
                </c:pt>
                <c:pt idx="5">
                  <c:v>Transportation</c:v>
                </c:pt>
                <c:pt idx="6">
                  <c:v>Food Services</c:v>
                </c:pt>
                <c:pt idx="7">
                  <c:v>Capital Improvements</c:v>
                </c:pt>
                <c:pt idx="8">
                  <c:v>Debt Services</c:v>
                </c:pt>
                <c:pt idx="9">
                  <c:v>Other Costs</c:v>
                </c:pt>
              </c:strCache>
            </c:strRef>
          </c:cat>
          <c:val>
            <c:numRef>
              <c:f>SUMEXPEN!$R$32:$R$41</c:f>
              <c:numCache>
                <c:formatCode>"$"#,##0</c:formatCode>
                <c:ptCount val="10"/>
                <c:pt idx="0">
                  <c:v>1412804</c:v>
                </c:pt>
                <c:pt idx="1">
                  <c:v>0</c:v>
                </c:pt>
                <c:pt idx="2">
                  <c:v>100</c:v>
                </c:pt>
                <c:pt idx="3">
                  <c:v>266917</c:v>
                </c:pt>
                <c:pt idx="4">
                  <c:v>624676</c:v>
                </c:pt>
                <c:pt idx="5">
                  <c:v>191507</c:v>
                </c:pt>
                <c:pt idx="6">
                  <c:v>129500</c:v>
                </c:pt>
                <c:pt idx="7">
                  <c:v>25000</c:v>
                </c:pt>
                <c:pt idx="8">
                  <c:v>154900</c:v>
                </c:pt>
                <c:pt idx="9">
                  <c:v>0</c:v>
                </c:pt>
              </c:numCache>
            </c:numRef>
          </c:val>
          <c:extLst>
            <c:ext xmlns:c16="http://schemas.microsoft.com/office/drawing/2014/chart" uri="{C3380CC4-5D6E-409C-BE32-E72D297353CC}">
              <c16:uniqueId val="{0000000D-3095-4589-AE5A-68D1D0B2F782}"/>
            </c:ext>
          </c:extLst>
        </c:ser>
        <c:dLbls>
          <c:showLegendKey val="0"/>
          <c:showVal val="1"/>
          <c:showCatName val="0"/>
          <c:showSerName val="0"/>
          <c:showPercent val="0"/>
          <c:showBubbleSize val="0"/>
        </c:dLbls>
        <c:gapWidth val="150"/>
        <c:shape val="box"/>
        <c:axId val="128185088"/>
        <c:axId val="128186624"/>
        <c:axId val="0"/>
      </c:bar3DChart>
      <c:catAx>
        <c:axId val="128185088"/>
        <c:scaling>
          <c:orientation val="minMax"/>
        </c:scaling>
        <c:delete val="0"/>
        <c:axPos val="b"/>
        <c:numFmt formatCode="General" sourceLinked="1"/>
        <c:majorTickMark val="none"/>
        <c:minorTickMark val="none"/>
        <c:tickLblPos val="nextTo"/>
        <c:spPr>
          <a:noFill/>
        </c:spPr>
        <c:txPr>
          <a:bodyPr rot="-1980000" anchor="t" anchorCtr="0"/>
          <a:lstStyle/>
          <a:p>
            <a:pPr>
              <a:defRPr sz="900" b="0" baseline="0">
                <a:solidFill>
                  <a:sysClr val="windowText" lastClr="000000"/>
                </a:solidFill>
                <a:latin typeface="Arial" panose="020B0604020202020204" pitchFamily="34" charset="0"/>
                <a:ea typeface="Open Sans" panose="020B0606030504020204" pitchFamily="34" charset="0"/>
                <a:cs typeface="Arial" panose="020B0604020202020204" pitchFamily="34" charset="0"/>
              </a:defRPr>
            </a:pPr>
            <a:endParaRPr lang="en-US"/>
          </a:p>
        </c:txPr>
        <c:crossAx val="128186624"/>
        <c:crosses val="autoZero"/>
        <c:auto val="1"/>
        <c:lblAlgn val="ctr"/>
        <c:lblOffset val="100"/>
        <c:noMultiLvlLbl val="0"/>
      </c:catAx>
      <c:valAx>
        <c:axId val="128186624"/>
        <c:scaling>
          <c:orientation val="minMax"/>
        </c:scaling>
        <c:delete val="0"/>
        <c:axPos val="l"/>
        <c:majorGridlines>
          <c:spPr>
            <a:ln>
              <a:solidFill>
                <a:srgbClr val="53565A"/>
              </a:solidFill>
            </a:ln>
          </c:spPr>
        </c:majorGridlines>
        <c:numFmt formatCode="&quot;$&quot;#,##0" sourceLinked="1"/>
        <c:majorTickMark val="none"/>
        <c:minorTickMark val="none"/>
        <c:tickLblPos val="nextTo"/>
        <c:spPr>
          <a:ln>
            <a:solidFill>
              <a:srgbClr val="53565A"/>
            </a:solidFill>
          </a:ln>
        </c:spPr>
        <c:txPr>
          <a:bodyPr/>
          <a:lstStyle/>
          <a:p>
            <a:pPr>
              <a:defRPr sz="900" baseline="0">
                <a:latin typeface="Arial" panose="020B0604020202020204" pitchFamily="34" charset="0"/>
                <a:ea typeface="Open Sans" panose="020B0606030504020204" pitchFamily="34" charset="0"/>
                <a:cs typeface="Arial" panose="020B0604020202020204" pitchFamily="34" charset="0"/>
              </a:defRPr>
            </a:pPr>
            <a:endParaRPr lang="en-US"/>
          </a:p>
        </c:txPr>
        <c:crossAx val="128185088"/>
        <c:crosses val="autoZero"/>
        <c:crossBetween val="between"/>
      </c:valAx>
      <c:spPr>
        <a:solidFill>
          <a:schemeClr val="bg1"/>
        </a:solidFill>
        <a:ln>
          <a:noFill/>
        </a:ln>
      </c:spPr>
    </c:plotArea>
    <c:legend>
      <c:legendPos val="r"/>
      <c:layout>
        <c:manualLayout>
          <c:xMode val="edge"/>
          <c:yMode val="edge"/>
          <c:x val="0.89100048440464052"/>
          <c:y val="0.35241280321029245"/>
          <c:w val="9.6564415929897771E-2"/>
          <c:h val="0.17318164204380485"/>
        </c:manualLayout>
      </c:layout>
      <c:overlay val="0"/>
      <c:txPr>
        <a:bodyPr/>
        <a:lstStyle/>
        <a:p>
          <a:pPr>
            <a:defRPr sz="900" b="0">
              <a:solidFill>
                <a:sysClr val="windowText" lastClr="000000"/>
              </a:solidFill>
              <a:latin typeface="Arial" panose="020B0604020202020204" pitchFamily="34" charset="0"/>
              <a:ea typeface="Open Sans" panose="020B0606030504020204" pitchFamily="34" charset="0"/>
              <a:cs typeface="Arial" panose="020B0604020202020204" pitchFamily="34" charset="0"/>
            </a:defRPr>
          </a:pPr>
          <a:endParaRPr lang="en-US"/>
        </a:p>
      </c:txPr>
    </c:legend>
    <c:plotVisOnly val="1"/>
    <c:dispBlanksAs val="gap"/>
    <c:showDLblsOverMax val="0"/>
  </c:chart>
  <c:spPr>
    <a:noFill/>
    <a:ln>
      <a:noFill/>
    </a:ln>
  </c:spPr>
  <c:printSettings>
    <c:headerFooter/>
    <c:pageMargins b="0.75" l="0.7" r="0.7" t="0.75" header="0.3" footer="0.3"/>
    <c:pageSetup orientation="portrait"/>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34"/>
    </mc:Choice>
    <mc:Fallback>
      <c:style val="34"/>
    </mc:Fallback>
  </mc:AlternateContent>
  <c:clrMapOvr bg1="lt1" tx1="dk1" bg2="lt2" tx2="dk2" accent1="accent1" accent2="accent2" accent3="accent3" accent4="accent4" accent5="accent5" accent6="accent6" hlink="hlink" folHlink="folHlink"/>
  <c:chart>
    <c:title>
      <c:tx>
        <c:rich>
          <a:bodyPr/>
          <a:lstStyle/>
          <a:p>
            <a:pPr>
              <a:defRPr sz="1400" b="0">
                <a:solidFill>
                  <a:srgbClr val="005587"/>
                </a:solidFill>
                <a:latin typeface="Arial" panose="020B0604020202020204" pitchFamily="34" charset="0"/>
                <a:ea typeface="Open Sans" panose="020B0606030504020204" pitchFamily="34" charset="0"/>
                <a:cs typeface="Arial" panose="020B0604020202020204" pitchFamily="34" charset="0"/>
              </a:defRPr>
            </a:pPr>
            <a:r>
              <a:rPr lang="en-US">
                <a:solidFill>
                  <a:srgbClr val="B7312C"/>
                </a:solidFill>
                <a:latin typeface="Arial" panose="020B0604020202020204" pitchFamily="34" charset="0"/>
                <a:cs typeface="Arial" panose="020B0604020202020204" pitchFamily="34" charset="0"/>
              </a:rPr>
              <a:t>Total Expenditures By Function (All Funds)</a:t>
            </a:r>
          </a:p>
        </c:rich>
      </c:tx>
      <c:layout>
        <c:manualLayout>
          <c:xMode val="edge"/>
          <c:yMode val="edge"/>
          <c:x val="0.27111248784257297"/>
          <c:y val="1.2269934698827851E-2"/>
        </c:manualLayout>
      </c:layout>
      <c:overlay val="0"/>
    </c:title>
    <c:autoTitleDeleted val="0"/>
    <c:view3D>
      <c:rotX val="15"/>
      <c:rotY val="20"/>
      <c:depthPercent val="100"/>
      <c:rAngAx val="1"/>
    </c:view3D>
    <c:floor>
      <c:thickness val="0"/>
      <c:spPr>
        <a:gradFill flip="none" rotWithShape="1">
          <a:gsLst>
            <a:gs pos="0">
              <a:srgbClr val="12284C">
                <a:lumMod val="5000"/>
                <a:lumOff val="95000"/>
              </a:srgbClr>
            </a:gs>
            <a:gs pos="74000">
              <a:srgbClr val="12284C">
                <a:lumMod val="45000"/>
                <a:lumOff val="55000"/>
              </a:srgbClr>
            </a:gs>
            <a:gs pos="83000">
              <a:srgbClr val="12284C">
                <a:lumMod val="45000"/>
                <a:lumOff val="55000"/>
              </a:srgbClr>
            </a:gs>
            <a:gs pos="100000">
              <a:srgbClr val="12284C">
                <a:lumMod val="30000"/>
                <a:lumOff val="70000"/>
              </a:srgbClr>
            </a:gs>
          </a:gsLst>
          <a:path path="circle">
            <a:fillToRect l="100000" t="100000"/>
          </a:path>
          <a:tileRect r="-100000" b="-100000"/>
        </a:gradFill>
        <a:ln>
          <a:solidFill>
            <a:srgbClr val="12284C"/>
          </a:solidFill>
        </a:ln>
      </c:spPr>
    </c:floor>
    <c:sideWall>
      <c:thickness val="0"/>
      <c:spPr>
        <a:gradFill flip="none" rotWithShape="1">
          <a:gsLst>
            <a:gs pos="0">
              <a:srgbClr val="12284C">
                <a:lumMod val="5000"/>
                <a:lumOff val="95000"/>
              </a:srgbClr>
            </a:gs>
            <a:gs pos="74000">
              <a:srgbClr val="12284C">
                <a:lumMod val="45000"/>
                <a:lumOff val="55000"/>
              </a:srgbClr>
            </a:gs>
            <a:gs pos="83000">
              <a:srgbClr val="12284C">
                <a:lumMod val="45000"/>
                <a:lumOff val="55000"/>
              </a:srgbClr>
            </a:gs>
            <a:gs pos="100000">
              <a:srgbClr val="12284C">
                <a:lumMod val="30000"/>
                <a:lumOff val="70000"/>
              </a:srgbClr>
            </a:gs>
          </a:gsLst>
          <a:path path="circle">
            <a:fillToRect l="100000" t="100000"/>
          </a:path>
          <a:tileRect r="-100000" b="-100000"/>
        </a:gradFill>
        <a:ln>
          <a:solidFill>
            <a:srgbClr val="12284C"/>
          </a:solidFill>
        </a:ln>
      </c:spPr>
    </c:sideWall>
    <c:backWall>
      <c:thickness val="0"/>
      <c:spPr>
        <a:gradFill flip="none" rotWithShape="1">
          <a:gsLst>
            <a:gs pos="0">
              <a:srgbClr val="12284C">
                <a:lumMod val="5000"/>
                <a:lumOff val="95000"/>
              </a:srgbClr>
            </a:gs>
            <a:gs pos="74000">
              <a:srgbClr val="12284C">
                <a:lumMod val="45000"/>
                <a:lumOff val="55000"/>
              </a:srgbClr>
            </a:gs>
            <a:gs pos="83000">
              <a:srgbClr val="12284C">
                <a:lumMod val="45000"/>
                <a:lumOff val="55000"/>
              </a:srgbClr>
            </a:gs>
            <a:gs pos="100000">
              <a:srgbClr val="12284C">
                <a:lumMod val="30000"/>
                <a:lumOff val="70000"/>
              </a:srgbClr>
            </a:gs>
          </a:gsLst>
          <a:path path="circle">
            <a:fillToRect l="100000" t="100000"/>
          </a:path>
          <a:tileRect r="-100000" b="-100000"/>
        </a:gradFill>
        <a:ln>
          <a:solidFill>
            <a:srgbClr val="12284C"/>
          </a:solidFill>
        </a:ln>
      </c:spPr>
    </c:backWall>
    <c:plotArea>
      <c:layout>
        <c:manualLayout>
          <c:layoutTarget val="inner"/>
          <c:xMode val="edge"/>
          <c:yMode val="edge"/>
          <c:x val="7.7286728752814532E-2"/>
          <c:y val="0.10400718032714029"/>
          <c:w val="0.83110840233756422"/>
          <c:h val="0.74143675536537734"/>
        </c:manualLayout>
      </c:layout>
      <c:bar3DChart>
        <c:barDir val="col"/>
        <c:grouping val="clustered"/>
        <c:varyColors val="0"/>
        <c:ser>
          <c:idx val="0"/>
          <c:order val="0"/>
          <c:tx>
            <c:strRef>
              <c:f>BAG!$L$170</c:f>
              <c:strCache>
                <c:ptCount val="1"/>
                <c:pt idx="0">
                  <c:v>2023-2024</c:v>
                </c:pt>
              </c:strCache>
            </c:strRef>
          </c:tx>
          <c:spPr>
            <a:solidFill>
              <a:srgbClr val="FFA400"/>
            </a:solidFill>
            <a:ln>
              <a:solidFill>
                <a:srgbClr val="D28700"/>
              </a:solidFill>
            </a:ln>
          </c:spPr>
          <c:invertIfNegative val="0"/>
          <c:dLbls>
            <c:spPr>
              <a:noFill/>
              <a:ln>
                <a:noFill/>
              </a:ln>
              <a:effectLst/>
            </c:spPr>
            <c:txPr>
              <a:bodyPr rot="-5400000" vert="horz" wrap="square" lIns="38100" tIns="19050" rIns="38100" bIns="19050" anchor="ctr">
                <a:spAutoFit/>
              </a:bodyPr>
              <a:lstStyle/>
              <a:p>
                <a:pPr>
                  <a:defRPr sz="900">
                    <a:latin typeface="Arial" panose="020B0604020202020204" pitchFamily="34" charset="0"/>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BAG!$K$171:$K$181</c:f>
              <c:strCache>
                <c:ptCount val="11"/>
                <c:pt idx="0">
                  <c:v>Instruction</c:v>
                </c:pt>
                <c:pt idx="1">
                  <c:v>Student Support</c:v>
                </c:pt>
                <c:pt idx="2">
                  <c:v>Instructional Support</c:v>
                </c:pt>
                <c:pt idx="3">
                  <c:v>Administration &amp; Support</c:v>
                </c:pt>
                <c:pt idx="4">
                  <c:v>Operations &amp; Maintenance</c:v>
                </c:pt>
                <c:pt idx="5">
                  <c:v>Transportation</c:v>
                </c:pt>
                <c:pt idx="6">
                  <c:v>Food Services</c:v>
                </c:pt>
                <c:pt idx="7">
                  <c:v>Capital Improvements</c:v>
                </c:pt>
                <c:pt idx="8">
                  <c:v>Debt Services</c:v>
                </c:pt>
                <c:pt idx="9">
                  <c:v>Other Costs</c:v>
                </c:pt>
                <c:pt idx="10">
                  <c:v>Total Expenditures¹</c:v>
                </c:pt>
              </c:strCache>
            </c:strRef>
          </c:cat>
          <c:val>
            <c:numRef>
              <c:f>BAG!$L$171:$L$181</c:f>
              <c:numCache>
                <c:formatCode>"$"#,##0</c:formatCode>
                <c:ptCount val="11"/>
                <c:pt idx="0">
                  <c:v>938685</c:v>
                </c:pt>
                <c:pt idx="1">
                  <c:v>2063</c:v>
                </c:pt>
                <c:pt idx="2">
                  <c:v>1258</c:v>
                </c:pt>
                <c:pt idx="3">
                  <c:v>256195</c:v>
                </c:pt>
                <c:pt idx="4">
                  <c:v>397475</c:v>
                </c:pt>
                <c:pt idx="5">
                  <c:v>54953</c:v>
                </c:pt>
                <c:pt idx="6">
                  <c:v>122157</c:v>
                </c:pt>
                <c:pt idx="7">
                  <c:v>39926</c:v>
                </c:pt>
                <c:pt idx="8">
                  <c:v>153725</c:v>
                </c:pt>
                <c:pt idx="9">
                  <c:v>7174</c:v>
                </c:pt>
                <c:pt idx="10">
                  <c:v>1973611</c:v>
                </c:pt>
              </c:numCache>
            </c:numRef>
          </c:val>
          <c:extLst>
            <c:ext xmlns:c16="http://schemas.microsoft.com/office/drawing/2014/chart" uri="{C3380CC4-5D6E-409C-BE32-E72D297353CC}">
              <c16:uniqueId val="{00000000-8F1F-4C2C-8298-130169B77919}"/>
            </c:ext>
          </c:extLst>
        </c:ser>
        <c:ser>
          <c:idx val="1"/>
          <c:order val="1"/>
          <c:tx>
            <c:strRef>
              <c:f>BAG!$M$170</c:f>
              <c:strCache>
                <c:ptCount val="1"/>
                <c:pt idx="0">
                  <c:v>2024-2025</c:v>
                </c:pt>
              </c:strCache>
            </c:strRef>
          </c:tx>
          <c:spPr>
            <a:solidFill>
              <a:srgbClr val="D50032"/>
            </a:solidFill>
            <a:ln>
              <a:solidFill>
                <a:srgbClr val="B7312C"/>
              </a:solidFill>
            </a:ln>
          </c:spPr>
          <c:invertIfNegative val="0"/>
          <c:dLbls>
            <c:spPr>
              <a:noFill/>
              <a:ln>
                <a:noFill/>
              </a:ln>
              <a:effectLst/>
            </c:spPr>
            <c:txPr>
              <a:bodyPr rot="-5400000" vert="horz" wrap="square" lIns="38100" tIns="19050" rIns="38100" bIns="19050" anchor="ctr">
                <a:spAutoFit/>
              </a:bodyPr>
              <a:lstStyle/>
              <a:p>
                <a:pPr>
                  <a:defRPr sz="900">
                    <a:latin typeface="Arial" panose="020B0604020202020204" pitchFamily="34" charset="0"/>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BAG!$K$171:$K$181</c:f>
              <c:strCache>
                <c:ptCount val="11"/>
                <c:pt idx="0">
                  <c:v>Instruction</c:v>
                </c:pt>
                <c:pt idx="1">
                  <c:v>Student Support</c:v>
                </c:pt>
                <c:pt idx="2">
                  <c:v>Instructional Support</c:v>
                </c:pt>
                <c:pt idx="3">
                  <c:v>Administration &amp; Support</c:v>
                </c:pt>
                <c:pt idx="4">
                  <c:v>Operations &amp; Maintenance</c:v>
                </c:pt>
                <c:pt idx="5">
                  <c:v>Transportation</c:v>
                </c:pt>
                <c:pt idx="6">
                  <c:v>Food Services</c:v>
                </c:pt>
                <c:pt idx="7">
                  <c:v>Capital Improvements</c:v>
                </c:pt>
                <c:pt idx="8">
                  <c:v>Debt Services</c:v>
                </c:pt>
                <c:pt idx="9">
                  <c:v>Other Costs</c:v>
                </c:pt>
                <c:pt idx="10">
                  <c:v>Total Expenditures¹</c:v>
                </c:pt>
              </c:strCache>
            </c:strRef>
          </c:cat>
          <c:val>
            <c:numRef>
              <c:f>BAG!$M$171:$M$181</c:f>
              <c:numCache>
                <c:formatCode>"$"#,##0</c:formatCode>
                <c:ptCount val="11"/>
                <c:pt idx="0">
                  <c:v>1968697</c:v>
                </c:pt>
                <c:pt idx="1">
                  <c:v>267</c:v>
                </c:pt>
                <c:pt idx="2">
                  <c:v>240</c:v>
                </c:pt>
                <c:pt idx="3">
                  <c:v>263732</c:v>
                </c:pt>
                <c:pt idx="4">
                  <c:v>693565</c:v>
                </c:pt>
                <c:pt idx="5">
                  <c:v>58431</c:v>
                </c:pt>
                <c:pt idx="6">
                  <c:v>133439</c:v>
                </c:pt>
                <c:pt idx="7">
                  <c:v>0</c:v>
                </c:pt>
                <c:pt idx="8">
                  <c:v>154900</c:v>
                </c:pt>
                <c:pt idx="9">
                  <c:v>219</c:v>
                </c:pt>
                <c:pt idx="10">
                  <c:v>3273490</c:v>
                </c:pt>
              </c:numCache>
            </c:numRef>
          </c:val>
          <c:extLst>
            <c:ext xmlns:c16="http://schemas.microsoft.com/office/drawing/2014/chart" uri="{C3380CC4-5D6E-409C-BE32-E72D297353CC}">
              <c16:uniqueId val="{00000001-8F1F-4C2C-8298-130169B77919}"/>
            </c:ext>
          </c:extLst>
        </c:ser>
        <c:ser>
          <c:idx val="2"/>
          <c:order val="2"/>
          <c:tx>
            <c:strRef>
              <c:f>BAG!$N$170</c:f>
              <c:strCache>
                <c:ptCount val="1"/>
                <c:pt idx="0">
                  <c:v>2025-2026</c:v>
                </c:pt>
              </c:strCache>
            </c:strRef>
          </c:tx>
          <c:spPr>
            <a:solidFill>
              <a:srgbClr val="00B796"/>
            </a:solidFill>
            <a:ln>
              <a:solidFill>
                <a:srgbClr val="008269"/>
              </a:solidFill>
            </a:ln>
          </c:spPr>
          <c:invertIfNegative val="0"/>
          <c:dLbls>
            <c:dLbl>
              <c:idx val="0"/>
              <c:layout>
                <c:manualLayout>
                  <c:x val="3.7037698779965739E-3"/>
                  <c:y val="2.9239458119876848E-3"/>
                </c:manualLayout>
              </c:layout>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2-8F1F-4C2C-8298-130169B77919}"/>
                </c:ext>
              </c:extLst>
            </c:dLbl>
            <c:dLbl>
              <c:idx val="1"/>
              <c:layout>
                <c:manualLayout>
                  <c:x val="3.843501944714554E-3"/>
                  <c:y val="2.1330480127978724E-3"/>
                </c:manualLayout>
              </c:layout>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3-8F1F-4C2C-8298-130169B77919}"/>
                </c:ext>
              </c:extLst>
            </c:dLbl>
            <c:dLbl>
              <c:idx val="2"/>
              <c:layout>
                <c:manualLayout>
                  <c:x val="5.6487475897410164E-3"/>
                  <c:y val="-5.7825192695241242E-3"/>
                </c:manualLayout>
              </c:layout>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4-8F1F-4C2C-8298-130169B77919}"/>
                </c:ext>
              </c:extLst>
            </c:dLbl>
            <c:dLbl>
              <c:idx val="3"/>
              <c:layout>
                <c:manualLayout>
                  <c:x val="3.7968411209221118E-3"/>
                  <c:y val="-8.9265161116074219E-3"/>
                </c:manualLayout>
              </c:layout>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5-8F1F-4C2C-8298-130169B77919}"/>
                </c:ext>
              </c:extLst>
            </c:dLbl>
            <c:dLbl>
              <c:idx val="4"/>
              <c:layout>
                <c:manualLayout>
                  <c:x val="7.4853050888708927E-3"/>
                  <c:y val="2.0729899705447022E-3"/>
                </c:manualLayout>
              </c:layout>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6-8F1F-4C2C-8298-130169B77919}"/>
                </c:ext>
              </c:extLst>
            </c:dLbl>
            <c:dLbl>
              <c:idx val="5"/>
              <c:layout>
                <c:manualLayout>
                  <c:x val="7.0417653226110587E-3"/>
                  <c:y val="1.1675166830514897E-4"/>
                </c:manualLayout>
              </c:layout>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7-8F1F-4C2C-8298-130169B77919}"/>
                </c:ext>
              </c:extLst>
            </c:dLbl>
            <c:dLbl>
              <c:idx val="6"/>
              <c:layout>
                <c:manualLayout>
                  <c:x val="5.6487475897408794E-3"/>
                  <c:y val="-5.7825192695241242E-3"/>
                </c:manualLayout>
              </c:layout>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8-8F1F-4C2C-8298-130169B77919}"/>
                </c:ext>
              </c:extLst>
            </c:dLbl>
            <c:dLbl>
              <c:idx val="7"/>
              <c:layout>
                <c:manualLayout>
                  <c:x val="4.5446863852043641E-3"/>
                  <c:y val="2.6606518298349256E-3"/>
                </c:manualLayout>
              </c:layout>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9-8F1F-4C2C-8298-130169B77919}"/>
                </c:ext>
              </c:extLst>
            </c:dLbl>
            <c:dLbl>
              <c:idx val="8"/>
              <c:layout>
                <c:manualLayout>
                  <c:x val="4.1404486960411853E-3"/>
                  <c:y val="-8.4211228983642836E-3"/>
                </c:manualLayout>
              </c:layout>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A-8F1F-4C2C-8298-130169B77919}"/>
                </c:ext>
              </c:extLst>
            </c:dLbl>
            <c:dLbl>
              <c:idx val="10"/>
              <c:layout>
                <c:manualLayout>
                  <c:x val="-1.9614172167220371E-16"/>
                  <c:y val="0"/>
                </c:manualLayout>
              </c:layout>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B-8F1F-4C2C-8298-130169B77919}"/>
                </c:ext>
              </c:extLst>
            </c:dLbl>
            <c:spPr>
              <a:noFill/>
              <a:ln>
                <a:noFill/>
              </a:ln>
              <a:effectLst/>
            </c:spPr>
            <c:txPr>
              <a:bodyPr rot="-5400000" vert="horz" wrap="square" lIns="38100" tIns="19050" rIns="38100" bIns="19050" anchor="ctr">
                <a:spAutoFit/>
              </a:bodyPr>
              <a:lstStyle/>
              <a:p>
                <a:pPr>
                  <a:defRPr sz="900">
                    <a:latin typeface="Arial" panose="020B0604020202020204" pitchFamily="34" charset="0"/>
                    <a:cs typeface="Arial" panose="020B0604020202020204" pitchFamily="34" charset="0"/>
                  </a:defRPr>
                </a:pPr>
                <a:endParaRPr lang="en-US"/>
              </a:p>
            </c:txPr>
            <c:showLegendKey val="0"/>
            <c:showVal val="1"/>
            <c:showCatName val="0"/>
            <c:showSerName val="0"/>
            <c:showPercent val="0"/>
            <c:showBubbleSize val="0"/>
            <c:separator> </c:separator>
            <c:showLeaderLines val="0"/>
            <c:extLst>
              <c:ext xmlns:c15="http://schemas.microsoft.com/office/drawing/2012/chart" uri="{CE6537A1-D6FC-4f65-9D91-7224C49458BB}">
                <c15:showLeaderLines val="0"/>
              </c:ext>
            </c:extLst>
          </c:dLbls>
          <c:cat>
            <c:strRef>
              <c:f>BAG!$K$171:$K$181</c:f>
              <c:strCache>
                <c:ptCount val="11"/>
                <c:pt idx="0">
                  <c:v>Instruction</c:v>
                </c:pt>
                <c:pt idx="1">
                  <c:v>Student Support</c:v>
                </c:pt>
                <c:pt idx="2">
                  <c:v>Instructional Support</c:v>
                </c:pt>
                <c:pt idx="3">
                  <c:v>Administration &amp; Support</c:v>
                </c:pt>
                <c:pt idx="4">
                  <c:v>Operations &amp; Maintenance</c:v>
                </c:pt>
                <c:pt idx="5">
                  <c:v>Transportation</c:v>
                </c:pt>
                <c:pt idx="6">
                  <c:v>Food Services</c:v>
                </c:pt>
                <c:pt idx="7">
                  <c:v>Capital Improvements</c:v>
                </c:pt>
                <c:pt idx="8">
                  <c:v>Debt Services</c:v>
                </c:pt>
                <c:pt idx="9">
                  <c:v>Other Costs</c:v>
                </c:pt>
                <c:pt idx="10">
                  <c:v>Total Expenditures¹</c:v>
                </c:pt>
              </c:strCache>
            </c:strRef>
          </c:cat>
          <c:val>
            <c:numRef>
              <c:f>BAG!$N$171:$N$181</c:f>
              <c:numCache>
                <c:formatCode>"$"#,##0</c:formatCode>
                <c:ptCount val="11"/>
                <c:pt idx="0">
                  <c:v>1412804</c:v>
                </c:pt>
                <c:pt idx="1">
                  <c:v>0</c:v>
                </c:pt>
                <c:pt idx="2">
                  <c:v>100</c:v>
                </c:pt>
                <c:pt idx="3">
                  <c:v>266917</c:v>
                </c:pt>
                <c:pt idx="4">
                  <c:v>624676</c:v>
                </c:pt>
                <c:pt idx="5">
                  <c:v>191507</c:v>
                </c:pt>
                <c:pt idx="6">
                  <c:v>129500</c:v>
                </c:pt>
                <c:pt idx="7">
                  <c:v>25000</c:v>
                </c:pt>
                <c:pt idx="8">
                  <c:v>154900</c:v>
                </c:pt>
                <c:pt idx="9">
                  <c:v>0</c:v>
                </c:pt>
                <c:pt idx="10">
                  <c:v>2805404</c:v>
                </c:pt>
              </c:numCache>
            </c:numRef>
          </c:val>
          <c:extLst>
            <c:ext xmlns:c16="http://schemas.microsoft.com/office/drawing/2014/chart" uri="{C3380CC4-5D6E-409C-BE32-E72D297353CC}">
              <c16:uniqueId val="{0000000C-8F1F-4C2C-8298-130169B77919}"/>
            </c:ext>
          </c:extLst>
        </c:ser>
        <c:dLbls>
          <c:showLegendKey val="0"/>
          <c:showVal val="1"/>
          <c:showCatName val="0"/>
          <c:showSerName val="0"/>
          <c:showPercent val="0"/>
          <c:showBubbleSize val="0"/>
        </c:dLbls>
        <c:gapWidth val="150"/>
        <c:shape val="box"/>
        <c:axId val="128185088"/>
        <c:axId val="128186624"/>
        <c:axId val="0"/>
      </c:bar3DChart>
      <c:catAx>
        <c:axId val="128185088"/>
        <c:scaling>
          <c:orientation val="minMax"/>
        </c:scaling>
        <c:delete val="0"/>
        <c:axPos val="b"/>
        <c:numFmt formatCode="General" sourceLinked="1"/>
        <c:majorTickMark val="none"/>
        <c:minorTickMark val="none"/>
        <c:tickLblPos val="nextTo"/>
        <c:spPr>
          <a:noFill/>
        </c:spPr>
        <c:txPr>
          <a:bodyPr rot="-1980000" anchor="t" anchorCtr="0"/>
          <a:lstStyle/>
          <a:p>
            <a:pPr>
              <a:defRPr sz="900" b="0" baseline="0">
                <a:solidFill>
                  <a:sysClr val="windowText" lastClr="000000"/>
                </a:solidFill>
                <a:latin typeface="Arial" panose="020B0604020202020204" pitchFamily="34" charset="0"/>
                <a:ea typeface="Open Sans" panose="020B0606030504020204" pitchFamily="34" charset="0"/>
                <a:cs typeface="Arial" panose="020B0604020202020204" pitchFamily="34" charset="0"/>
              </a:defRPr>
            </a:pPr>
            <a:endParaRPr lang="en-US"/>
          </a:p>
        </c:txPr>
        <c:crossAx val="128186624"/>
        <c:crosses val="autoZero"/>
        <c:auto val="1"/>
        <c:lblAlgn val="ctr"/>
        <c:lblOffset val="100"/>
        <c:noMultiLvlLbl val="0"/>
      </c:catAx>
      <c:valAx>
        <c:axId val="128186624"/>
        <c:scaling>
          <c:orientation val="minMax"/>
        </c:scaling>
        <c:delete val="0"/>
        <c:axPos val="l"/>
        <c:majorGridlines>
          <c:spPr>
            <a:ln>
              <a:solidFill>
                <a:srgbClr val="53565A"/>
              </a:solidFill>
            </a:ln>
          </c:spPr>
        </c:majorGridlines>
        <c:numFmt formatCode="&quot;$&quot;#,##0" sourceLinked="1"/>
        <c:majorTickMark val="none"/>
        <c:minorTickMark val="none"/>
        <c:tickLblPos val="nextTo"/>
        <c:spPr>
          <a:ln>
            <a:solidFill>
              <a:srgbClr val="53565A"/>
            </a:solidFill>
          </a:ln>
        </c:spPr>
        <c:txPr>
          <a:bodyPr/>
          <a:lstStyle/>
          <a:p>
            <a:pPr>
              <a:defRPr sz="900" baseline="0">
                <a:latin typeface="Arial" panose="020B0604020202020204" pitchFamily="34" charset="0"/>
                <a:ea typeface="Open Sans" panose="020B0606030504020204" pitchFamily="34" charset="0"/>
                <a:cs typeface="Arial" panose="020B0604020202020204" pitchFamily="34" charset="0"/>
              </a:defRPr>
            </a:pPr>
            <a:endParaRPr lang="en-US"/>
          </a:p>
        </c:txPr>
        <c:crossAx val="128185088"/>
        <c:crosses val="autoZero"/>
        <c:crossBetween val="between"/>
      </c:valAx>
      <c:spPr>
        <a:solidFill>
          <a:schemeClr val="bg1"/>
        </a:solidFill>
        <a:ln>
          <a:noFill/>
        </a:ln>
      </c:spPr>
    </c:plotArea>
    <c:legend>
      <c:legendPos val="r"/>
      <c:layout>
        <c:manualLayout>
          <c:xMode val="edge"/>
          <c:yMode val="edge"/>
          <c:x val="0.88186892852334609"/>
          <c:y val="0.39750460614399252"/>
          <c:w val="0.11606577550210301"/>
          <c:h val="0.22819911270119778"/>
        </c:manualLayout>
      </c:layout>
      <c:overlay val="0"/>
      <c:txPr>
        <a:bodyPr/>
        <a:lstStyle/>
        <a:p>
          <a:pPr>
            <a:defRPr sz="900" b="0">
              <a:solidFill>
                <a:sysClr val="windowText" lastClr="000000"/>
              </a:solidFill>
              <a:latin typeface="Arial" panose="020B0604020202020204" pitchFamily="34" charset="0"/>
              <a:ea typeface="Open Sans" panose="020B0606030504020204" pitchFamily="34" charset="0"/>
              <a:cs typeface="Arial" panose="020B0604020202020204" pitchFamily="34" charset="0"/>
            </a:defRPr>
          </a:pPr>
          <a:endParaRPr lang="en-US"/>
        </a:p>
      </c:txPr>
    </c:legend>
    <c:plotVisOnly val="1"/>
    <c:dispBlanksAs val="gap"/>
    <c:showDLblsOverMax val="0"/>
  </c:chart>
  <c:spPr>
    <a:ln>
      <a:noFill/>
    </a:ln>
  </c:spPr>
  <c:printSettings>
    <c:headerFooter/>
    <c:pageMargins b="0.75" l="0.7" r="0.7" t="0.75" header="0.3" footer="0.3"/>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34"/>
    </mc:Choice>
    <mc:Fallback>
      <c:style val="34"/>
    </mc:Fallback>
  </mc:AlternateContent>
  <c:clrMapOvr bg1="lt1" tx1="dk1" bg2="lt2" tx2="dk2" accent1="accent1" accent2="accent2" accent3="accent3" accent4="accent4" accent5="accent5" accent6="accent6" hlink="hlink" folHlink="folHlink"/>
  <c:chart>
    <c:title>
      <c:tx>
        <c:rich>
          <a:bodyPr/>
          <a:lstStyle/>
          <a:p>
            <a:pPr>
              <a:defRPr sz="1400" b="0">
                <a:solidFill>
                  <a:srgbClr val="005587"/>
                </a:solidFill>
                <a:latin typeface="Arial" panose="020B0604020202020204" pitchFamily="34" charset="0"/>
                <a:ea typeface="Open Sans" panose="020B0606030504020204" pitchFamily="34" charset="0"/>
                <a:cs typeface="Arial" panose="020B0604020202020204" pitchFamily="34" charset="0"/>
              </a:defRPr>
            </a:pPr>
            <a:r>
              <a:rPr lang="en-US">
                <a:solidFill>
                  <a:srgbClr val="B7312C"/>
                </a:solidFill>
                <a:latin typeface="Arial" panose="020B0604020202020204" pitchFamily="34" charset="0"/>
                <a:cs typeface="Arial" panose="020B0604020202020204" pitchFamily="34" charset="0"/>
              </a:rPr>
              <a:t>Total Expenditures Amount Per Pupil by Function (All Funds)</a:t>
            </a:r>
          </a:p>
        </c:rich>
      </c:tx>
      <c:overlay val="0"/>
    </c:title>
    <c:autoTitleDeleted val="0"/>
    <c:view3D>
      <c:rotX val="15"/>
      <c:rotY val="20"/>
      <c:depthPercent val="100"/>
      <c:rAngAx val="1"/>
    </c:view3D>
    <c:floor>
      <c:thickness val="0"/>
      <c:spPr>
        <a:gradFill flip="none" rotWithShape="1">
          <a:gsLst>
            <a:gs pos="0">
              <a:srgbClr val="12284C">
                <a:lumMod val="5000"/>
                <a:lumOff val="95000"/>
              </a:srgbClr>
            </a:gs>
            <a:gs pos="74000">
              <a:srgbClr val="12284C">
                <a:lumMod val="45000"/>
                <a:lumOff val="55000"/>
              </a:srgbClr>
            </a:gs>
            <a:gs pos="83000">
              <a:srgbClr val="12284C">
                <a:lumMod val="45000"/>
                <a:lumOff val="55000"/>
              </a:srgbClr>
            </a:gs>
            <a:gs pos="100000">
              <a:srgbClr val="12284C">
                <a:lumMod val="30000"/>
                <a:lumOff val="70000"/>
              </a:srgbClr>
            </a:gs>
          </a:gsLst>
          <a:path path="circle">
            <a:fillToRect l="100000" t="100000"/>
          </a:path>
          <a:tileRect r="-100000" b="-100000"/>
        </a:gradFill>
        <a:ln>
          <a:solidFill>
            <a:srgbClr val="12284C"/>
          </a:solidFill>
        </a:ln>
      </c:spPr>
    </c:floor>
    <c:sideWall>
      <c:thickness val="0"/>
      <c:spPr>
        <a:gradFill flip="none" rotWithShape="1">
          <a:gsLst>
            <a:gs pos="0">
              <a:srgbClr val="12284C">
                <a:lumMod val="5000"/>
                <a:lumOff val="95000"/>
              </a:srgbClr>
            </a:gs>
            <a:gs pos="74000">
              <a:srgbClr val="12284C">
                <a:lumMod val="45000"/>
                <a:lumOff val="55000"/>
              </a:srgbClr>
            </a:gs>
            <a:gs pos="83000">
              <a:srgbClr val="12284C">
                <a:lumMod val="45000"/>
                <a:lumOff val="55000"/>
              </a:srgbClr>
            </a:gs>
            <a:gs pos="100000">
              <a:srgbClr val="12284C">
                <a:lumMod val="30000"/>
                <a:lumOff val="70000"/>
              </a:srgbClr>
            </a:gs>
          </a:gsLst>
          <a:path path="circle">
            <a:fillToRect l="100000" t="100000"/>
          </a:path>
          <a:tileRect r="-100000" b="-100000"/>
        </a:gradFill>
        <a:ln>
          <a:solidFill>
            <a:srgbClr val="12284C"/>
          </a:solidFill>
        </a:ln>
      </c:spPr>
    </c:sideWall>
    <c:backWall>
      <c:thickness val="0"/>
      <c:spPr>
        <a:gradFill flip="none" rotWithShape="1">
          <a:gsLst>
            <a:gs pos="0">
              <a:srgbClr val="12284C">
                <a:lumMod val="5000"/>
                <a:lumOff val="95000"/>
              </a:srgbClr>
            </a:gs>
            <a:gs pos="74000">
              <a:srgbClr val="12284C">
                <a:lumMod val="45000"/>
                <a:lumOff val="55000"/>
              </a:srgbClr>
            </a:gs>
            <a:gs pos="83000">
              <a:srgbClr val="12284C">
                <a:lumMod val="45000"/>
                <a:lumOff val="55000"/>
              </a:srgbClr>
            </a:gs>
            <a:gs pos="100000">
              <a:srgbClr val="12284C">
                <a:lumMod val="30000"/>
                <a:lumOff val="70000"/>
              </a:srgbClr>
            </a:gs>
          </a:gsLst>
          <a:path path="circle">
            <a:fillToRect l="100000" t="100000"/>
          </a:path>
          <a:tileRect r="-100000" b="-100000"/>
        </a:gradFill>
        <a:ln>
          <a:solidFill>
            <a:srgbClr val="12284C"/>
          </a:solidFill>
        </a:ln>
      </c:spPr>
    </c:backWall>
    <c:plotArea>
      <c:layout>
        <c:manualLayout>
          <c:layoutTarget val="inner"/>
          <c:xMode val="edge"/>
          <c:yMode val="edge"/>
          <c:x val="7.7286687005849619E-2"/>
          <c:y val="9.5671796263200867E-2"/>
          <c:w val="0.83110840233756422"/>
          <c:h val="0.70230057403639412"/>
        </c:manualLayout>
      </c:layout>
      <c:bar3DChart>
        <c:barDir val="col"/>
        <c:grouping val="clustered"/>
        <c:varyColors val="0"/>
        <c:ser>
          <c:idx val="0"/>
          <c:order val="0"/>
          <c:tx>
            <c:strRef>
              <c:f>BAG!$L$233</c:f>
              <c:strCache>
                <c:ptCount val="1"/>
                <c:pt idx="0">
                  <c:v>2023-2024</c:v>
                </c:pt>
              </c:strCache>
            </c:strRef>
          </c:tx>
          <c:spPr>
            <a:solidFill>
              <a:srgbClr val="FFA400"/>
            </a:solidFill>
            <a:ln>
              <a:solidFill>
                <a:srgbClr val="D28700"/>
              </a:solidFill>
            </a:ln>
          </c:spPr>
          <c:invertIfNegative val="0"/>
          <c:dLbls>
            <c:spPr>
              <a:noFill/>
              <a:ln>
                <a:noFill/>
              </a:ln>
              <a:effectLst/>
            </c:spPr>
            <c:txPr>
              <a:bodyPr rot="-5400000" vert="horz" wrap="square" lIns="38100" tIns="19050" rIns="38100" bIns="19050" anchor="ctr">
                <a:spAutoFit/>
              </a:bodyPr>
              <a:lstStyle/>
              <a:p>
                <a:pPr>
                  <a:defRPr sz="900">
                    <a:latin typeface="Arial" panose="020B0604020202020204" pitchFamily="34" charset="0"/>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BAG!$K$234:$K$244</c:f>
              <c:strCache>
                <c:ptCount val="11"/>
                <c:pt idx="0">
                  <c:v>Instruction</c:v>
                </c:pt>
                <c:pt idx="1">
                  <c:v>Student Support</c:v>
                </c:pt>
                <c:pt idx="2">
                  <c:v>Instructional Support</c:v>
                </c:pt>
                <c:pt idx="3">
                  <c:v>Administration &amp; Support</c:v>
                </c:pt>
                <c:pt idx="4">
                  <c:v>Operations &amp; Maintenance</c:v>
                </c:pt>
                <c:pt idx="5">
                  <c:v>Transportation</c:v>
                </c:pt>
                <c:pt idx="6">
                  <c:v>Food Services</c:v>
                </c:pt>
                <c:pt idx="7">
                  <c:v>Capital Improvements</c:v>
                </c:pt>
                <c:pt idx="8">
                  <c:v>Debt Services</c:v>
                </c:pt>
                <c:pt idx="9">
                  <c:v>Other Costs</c:v>
                </c:pt>
                <c:pt idx="10">
                  <c:v>Total Expenditures</c:v>
                </c:pt>
              </c:strCache>
            </c:strRef>
          </c:cat>
          <c:val>
            <c:numRef>
              <c:f>BAG!$L$234:$L$244</c:f>
              <c:numCache>
                <c:formatCode>"$"#,##0</c:formatCode>
                <c:ptCount val="11"/>
                <c:pt idx="0">
                  <c:v>13277</c:v>
                </c:pt>
                <c:pt idx="1">
                  <c:v>29</c:v>
                </c:pt>
                <c:pt idx="2">
                  <c:v>18</c:v>
                </c:pt>
                <c:pt idx="3">
                  <c:v>3624</c:v>
                </c:pt>
                <c:pt idx="4">
                  <c:v>5622</c:v>
                </c:pt>
                <c:pt idx="5">
                  <c:v>777</c:v>
                </c:pt>
                <c:pt idx="6">
                  <c:v>1728</c:v>
                </c:pt>
                <c:pt idx="7">
                  <c:v>565</c:v>
                </c:pt>
                <c:pt idx="8">
                  <c:v>2174</c:v>
                </c:pt>
                <c:pt idx="9">
                  <c:v>101</c:v>
                </c:pt>
                <c:pt idx="10">
                  <c:v>27915</c:v>
                </c:pt>
              </c:numCache>
            </c:numRef>
          </c:val>
          <c:extLst>
            <c:ext xmlns:c16="http://schemas.microsoft.com/office/drawing/2014/chart" uri="{C3380CC4-5D6E-409C-BE32-E72D297353CC}">
              <c16:uniqueId val="{00000000-ECF5-4D13-A628-8F08B7757245}"/>
            </c:ext>
          </c:extLst>
        </c:ser>
        <c:ser>
          <c:idx val="1"/>
          <c:order val="1"/>
          <c:tx>
            <c:strRef>
              <c:f>BAG!$M$233</c:f>
              <c:strCache>
                <c:ptCount val="1"/>
                <c:pt idx="0">
                  <c:v>2024-2025</c:v>
                </c:pt>
              </c:strCache>
            </c:strRef>
          </c:tx>
          <c:spPr>
            <a:solidFill>
              <a:srgbClr val="D50032"/>
            </a:solidFill>
            <a:ln>
              <a:solidFill>
                <a:srgbClr val="B7312C"/>
              </a:solidFill>
            </a:ln>
          </c:spPr>
          <c:invertIfNegative val="0"/>
          <c:dLbls>
            <c:spPr>
              <a:noFill/>
              <a:ln>
                <a:noFill/>
              </a:ln>
              <a:effectLst/>
            </c:spPr>
            <c:txPr>
              <a:bodyPr rot="-5400000" vert="horz" wrap="square" lIns="38100" tIns="19050" rIns="38100" bIns="19050" anchor="ctr">
                <a:spAutoFit/>
              </a:bodyPr>
              <a:lstStyle/>
              <a:p>
                <a:pPr>
                  <a:defRPr sz="900">
                    <a:latin typeface="Arial" panose="020B0604020202020204" pitchFamily="34" charset="0"/>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BAG!$K$234:$K$244</c:f>
              <c:strCache>
                <c:ptCount val="11"/>
                <c:pt idx="0">
                  <c:v>Instruction</c:v>
                </c:pt>
                <c:pt idx="1">
                  <c:v>Student Support</c:v>
                </c:pt>
                <c:pt idx="2">
                  <c:v>Instructional Support</c:v>
                </c:pt>
                <c:pt idx="3">
                  <c:v>Administration &amp; Support</c:v>
                </c:pt>
                <c:pt idx="4">
                  <c:v>Operations &amp; Maintenance</c:v>
                </c:pt>
                <c:pt idx="5">
                  <c:v>Transportation</c:v>
                </c:pt>
                <c:pt idx="6">
                  <c:v>Food Services</c:v>
                </c:pt>
                <c:pt idx="7">
                  <c:v>Capital Improvements</c:v>
                </c:pt>
                <c:pt idx="8">
                  <c:v>Debt Services</c:v>
                </c:pt>
                <c:pt idx="9">
                  <c:v>Other Costs</c:v>
                </c:pt>
                <c:pt idx="10">
                  <c:v>Total Expenditures</c:v>
                </c:pt>
              </c:strCache>
            </c:strRef>
          </c:cat>
          <c:val>
            <c:numRef>
              <c:f>BAG!$M$234:$M$244</c:f>
              <c:numCache>
                <c:formatCode>"$"#,##0</c:formatCode>
                <c:ptCount val="11"/>
                <c:pt idx="0">
                  <c:v>23863</c:v>
                </c:pt>
                <c:pt idx="1">
                  <c:v>3</c:v>
                </c:pt>
                <c:pt idx="2">
                  <c:v>3</c:v>
                </c:pt>
                <c:pt idx="3">
                  <c:v>3197</c:v>
                </c:pt>
                <c:pt idx="4">
                  <c:v>8407</c:v>
                </c:pt>
                <c:pt idx="5">
                  <c:v>708</c:v>
                </c:pt>
                <c:pt idx="6">
                  <c:v>1617</c:v>
                </c:pt>
                <c:pt idx="7">
                  <c:v>0</c:v>
                </c:pt>
                <c:pt idx="8">
                  <c:v>1878</c:v>
                </c:pt>
                <c:pt idx="9">
                  <c:v>3</c:v>
                </c:pt>
                <c:pt idx="10">
                  <c:v>39679</c:v>
                </c:pt>
              </c:numCache>
            </c:numRef>
          </c:val>
          <c:extLst>
            <c:ext xmlns:c16="http://schemas.microsoft.com/office/drawing/2014/chart" uri="{C3380CC4-5D6E-409C-BE32-E72D297353CC}">
              <c16:uniqueId val="{00000001-ECF5-4D13-A628-8F08B7757245}"/>
            </c:ext>
          </c:extLst>
        </c:ser>
        <c:ser>
          <c:idx val="2"/>
          <c:order val="2"/>
          <c:tx>
            <c:strRef>
              <c:f>BAG!$N$233</c:f>
              <c:strCache>
                <c:ptCount val="1"/>
                <c:pt idx="0">
                  <c:v>2025-2026</c:v>
                </c:pt>
              </c:strCache>
            </c:strRef>
          </c:tx>
          <c:spPr>
            <a:solidFill>
              <a:srgbClr val="00B796"/>
            </a:solidFill>
            <a:ln>
              <a:solidFill>
                <a:srgbClr val="008269"/>
              </a:solidFill>
            </a:ln>
          </c:spPr>
          <c:invertIfNegative val="0"/>
          <c:dLbls>
            <c:dLbl>
              <c:idx val="0"/>
              <c:layout>
                <c:manualLayout>
                  <c:x val="3.7037698779965739E-3"/>
                  <c:y val="2.9239458119876848E-3"/>
                </c:manualLayout>
              </c:layout>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2-ECF5-4D13-A628-8F08B7757245}"/>
                </c:ext>
              </c:extLst>
            </c:dLbl>
            <c:dLbl>
              <c:idx val="1"/>
              <c:layout>
                <c:manualLayout>
                  <c:x val="3.843501944714554E-3"/>
                  <c:y val="2.1330480127978724E-3"/>
                </c:manualLayout>
              </c:layout>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3-ECF5-4D13-A628-8F08B7757245}"/>
                </c:ext>
              </c:extLst>
            </c:dLbl>
            <c:dLbl>
              <c:idx val="2"/>
              <c:layout>
                <c:manualLayout>
                  <c:x val="5.6487475897410164E-3"/>
                  <c:y val="-5.7825192695241242E-3"/>
                </c:manualLayout>
              </c:layout>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4-ECF5-4D13-A628-8F08B7757245}"/>
                </c:ext>
              </c:extLst>
            </c:dLbl>
            <c:dLbl>
              <c:idx val="3"/>
              <c:layout>
                <c:manualLayout>
                  <c:x val="3.7968411209221118E-3"/>
                  <c:y val="-8.9265161116074219E-3"/>
                </c:manualLayout>
              </c:layout>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5-ECF5-4D13-A628-8F08B7757245}"/>
                </c:ext>
              </c:extLst>
            </c:dLbl>
            <c:dLbl>
              <c:idx val="4"/>
              <c:layout>
                <c:manualLayout>
                  <c:x val="7.4853050888708927E-3"/>
                  <c:y val="2.0729899705447022E-3"/>
                </c:manualLayout>
              </c:layout>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6-ECF5-4D13-A628-8F08B7757245}"/>
                </c:ext>
              </c:extLst>
            </c:dLbl>
            <c:dLbl>
              <c:idx val="5"/>
              <c:layout>
                <c:manualLayout>
                  <c:x val="7.0417653226110587E-3"/>
                  <c:y val="1.1675166830514897E-4"/>
                </c:manualLayout>
              </c:layout>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7-ECF5-4D13-A628-8F08B7757245}"/>
                </c:ext>
              </c:extLst>
            </c:dLbl>
            <c:dLbl>
              <c:idx val="6"/>
              <c:layout>
                <c:manualLayout>
                  <c:x val="5.6487475897408794E-3"/>
                  <c:y val="-5.7825192695241242E-3"/>
                </c:manualLayout>
              </c:layout>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8-ECF5-4D13-A628-8F08B7757245}"/>
                </c:ext>
              </c:extLst>
            </c:dLbl>
            <c:dLbl>
              <c:idx val="7"/>
              <c:layout>
                <c:manualLayout>
                  <c:x val="4.5446863852043641E-3"/>
                  <c:y val="2.6606518298349256E-3"/>
                </c:manualLayout>
              </c:layout>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9-ECF5-4D13-A628-8F08B7757245}"/>
                </c:ext>
              </c:extLst>
            </c:dLbl>
            <c:dLbl>
              <c:idx val="8"/>
              <c:layout>
                <c:manualLayout>
                  <c:x val="4.1404486960411853E-3"/>
                  <c:y val="-8.4211228983642836E-3"/>
                </c:manualLayout>
              </c:layout>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A-ECF5-4D13-A628-8F08B7757245}"/>
                </c:ext>
              </c:extLst>
            </c:dLbl>
            <c:spPr>
              <a:noFill/>
              <a:ln>
                <a:noFill/>
              </a:ln>
              <a:effectLst/>
            </c:spPr>
            <c:txPr>
              <a:bodyPr rot="-5400000" vert="horz" wrap="square" lIns="38100" tIns="19050" rIns="38100" bIns="19050" anchor="ctr">
                <a:spAutoFit/>
              </a:bodyPr>
              <a:lstStyle/>
              <a:p>
                <a:pPr>
                  <a:defRPr sz="900">
                    <a:latin typeface="Arial" panose="020B0604020202020204" pitchFamily="34" charset="0"/>
                    <a:cs typeface="Arial" panose="020B0604020202020204" pitchFamily="34" charset="0"/>
                  </a:defRPr>
                </a:pPr>
                <a:endParaRPr lang="en-US"/>
              </a:p>
            </c:txPr>
            <c:showLegendKey val="0"/>
            <c:showVal val="1"/>
            <c:showCatName val="0"/>
            <c:showSerName val="0"/>
            <c:showPercent val="0"/>
            <c:showBubbleSize val="0"/>
            <c:separator> </c:separator>
            <c:showLeaderLines val="0"/>
            <c:extLst>
              <c:ext xmlns:c15="http://schemas.microsoft.com/office/drawing/2012/chart" uri="{CE6537A1-D6FC-4f65-9D91-7224C49458BB}">
                <c15:showLeaderLines val="0"/>
              </c:ext>
            </c:extLst>
          </c:dLbls>
          <c:cat>
            <c:strRef>
              <c:f>BAG!$K$234:$K$244</c:f>
              <c:strCache>
                <c:ptCount val="11"/>
                <c:pt idx="0">
                  <c:v>Instruction</c:v>
                </c:pt>
                <c:pt idx="1">
                  <c:v>Student Support</c:v>
                </c:pt>
                <c:pt idx="2">
                  <c:v>Instructional Support</c:v>
                </c:pt>
                <c:pt idx="3">
                  <c:v>Administration &amp; Support</c:v>
                </c:pt>
                <c:pt idx="4">
                  <c:v>Operations &amp; Maintenance</c:v>
                </c:pt>
                <c:pt idx="5">
                  <c:v>Transportation</c:v>
                </c:pt>
                <c:pt idx="6">
                  <c:v>Food Services</c:v>
                </c:pt>
                <c:pt idx="7">
                  <c:v>Capital Improvements</c:v>
                </c:pt>
                <c:pt idx="8">
                  <c:v>Debt Services</c:v>
                </c:pt>
                <c:pt idx="9">
                  <c:v>Other Costs</c:v>
                </c:pt>
                <c:pt idx="10">
                  <c:v>Total Expenditures</c:v>
                </c:pt>
              </c:strCache>
            </c:strRef>
          </c:cat>
          <c:val>
            <c:numRef>
              <c:f>BAG!$N$234:$N$244</c:f>
              <c:numCache>
                <c:formatCode>"$"#,##0</c:formatCode>
                <c:ptCount val="11"/>
                <c:pt idx="0">
                  <c:v>20183</c:v>
                </c:pt>
                <c:pt idx="1">
                  <c:v>0</c:v>
                </c:pt>
                <c:pt idx="2">
                  <c:v>1</c:v>
                </c:pt>
                <c:pt idx="3">
                  <c:v>3813</c:v>
                </c:pt>
                <c:pt idx="4">
                  <c:v>8924</c:v>
                </c:pt>
                <c:pt idx="5">
                  <c:v>2736</c:v>
                </c:pt>
                <c:pt idx="6">
                  <c:v>1850</c:v>
                </c:pt>
                <c:pt idx="7">
                  <c:v>357</c:v>
                </c:pt>
                <c:pt idx="8">
                  <c:v>2213</c:v>
                </c:pt>
                <c:pt idx="9">
                  <c:v>0</c:v>
                </c:pt>
                <c:pt idx="10">
                  <c:v>40077</c:v>
                </c:pt>
              </c:numCache>
            </c:numRef>
          </c:val>
          <c:extLst>
            <c:ext xmlns:c16="http://schemas.microsoft.com/office/drawing/2014/chart" uri="{C3380CC4-5D6E-409C-BE32-E72D297353CC}">
              <c16:uniqueId val="{0000000B-ECF5-4D13-A628-8F08B7757245}"/>
            </c:ext>
          </c:extLst>
        </c:ser>
        <c:dLbls>
          <c:showLegendKey val="0"/>
          <c:showVal val="1"/>
          <c:showCatName val="0"/>
          <c:showSerName val="0"/>
          <c:showPercent val="0"/>
          <c:showBubbleSize val="0"/>
        </c:dLbls>
        <c:gapWidth val="150"/>
        <c:shape val="box"/>
        <c:axId val="128185088"/>
        <c:axId val="128186624"/>
        <c:axId val="0"/>
      </c:bar3DChart>
      <c:catAx>
        <c:axId val="128185088"/>
        <c:scaling>
          <c:orientation val="minMax"/>
        </c:scaling>
        <c:delete val="0"/>
        <c:axPos val="b"/>
        <c:numFmt formatCode="General" sourceLinked="1"/>
        <c:majorTickMark val="none"/>
        <c:minorTickMark val="none"/>
        <c:tickLblPos val="nextTo"/>
        <c:spPr>
          <a:noFill/>
        </c:spPr>
        <c:txPr>
          <a:bodyPr rot="-1320000" anchor="t" anchorCtr="0"/>
          <a:lstStyle/>
          <a:p>
            <a:pPr>
              <a:defRPr sz="900" b="0" baseline="0">
                <a:solidFill>
                  <a:sysClr val="windowText" lastClr="000000"/>
                </a:solidFill>
                <a:latin typeface="Arial" panose="020B0604020202020204" pitchFamily="34" charset="0"/>
                <a:ea typeface="Open Sans" panose="020B0606030504020204" pitchFamily="34" charset="0"/>
                <a:cs typeface="Arial" panose="020B0604020202020204" pitchFamily="34" charset="0"/>
              </a:defRPr>
            </a:pPr>
            <a:endParaRPr lang="en-US"/>
          </a:p>
        </c:txPr>
        <c:crossAx val="128186624"/>
        <c:crosses val="autoZero"/>
        <c:auto val="1"/>
        <c:lblAlgn val="ctr"/>
        <c:lblOffset val="100"/>
        <c:noMultiLvlLbl val="0"/>
      </c:catAx>
      <c:valAx>
        <c:axId val="128186624"/>
        <c:scaling>
          <c:orientation val="minMax"/>
        </c:scaling>
        <c:delete val="0"/>
        <c:axPos val="l"/>
        <c:majorGridlines>
          <c:spPr>
            <a:ln>
              <a:solidFill>
                <a:srgbClr val="53565A"/>
              </a:solidFill>
            </a:ln>
          </c:spPr>
        </c:majorGridlines>
        <c:numFmt formatCode="&quot;$&quot;#,##0" sourceLinked="1"/>
        <c:majorTickMark val="none"/>
        <c:minorTickMark val="none"/>
        <c:tickLblPos val="nextTo"/>
        <c:spPr>
          <a:ln>
            <a:solidFill>
              <a:srgbClr val="53565A"/>
            </a:solidFill>
          </a:ln>
        </c:spPr>
        <c:txPr>
          <a:bodyPr/>
          <a:lstStyle/>
          <a:p>
            <a:pPr>
              <a:defRPr sz="900" baseline="0">
                <a:latin typeface="Arial" panose="020B0604020202020204" pitchFamily="34" charset="0"/>
                <a:ea typeface="Open Sans" panose="020B0606030504020204" pitchFamily="34" charset="0"/>
                <a:cs typeface="Arial" panose="020B0604020202020204" pitchFamily="34" charset="0"/>
              </a:defRPr>
            </a:pPr>
            <a:endParaRPr lang="en-US"/>
          </a:p>
        </c:txPr>
        <c:crossAx val="128185088"/>
        <c:crosses val="autoZero"/>
        <c:crossBetween val="between"/>
      </c:valAx>
      <c:spPr>
        <a:solidFill>
          <a:schemeClr val="bg1"/>
        </a:solidFill>
        <a:ln>
          <a:noFill/>
        </a:ln>
      </c:spPr>
    </c:plotArea>
    <c:legend>
      <c:legendPos val="r"/>
      <c:layout>
        <c:manualLayout>
          <c:xMode val="edge"/>
          <c:yMode val="edge"/>
          <c:x val="0.87149854659344839"/>
          <c:y val="0.3747045799890848"/>
          <c:w val="0.12643611868948532"/>
          <c:h val="0.15791801766304422"/>
        </c:manualLayout>
      </c:layout>
      <c:overlay val="0"/>
      <c:txPr>
        <a:bodyPr/>
        <a:lstStyle/>
        <a:p>
          <a:pPr>
            <a:defRPr sz="900" b="0">
              <a:solidFill>
                <a:sysClr val="windowText" lastClr="000000"/>
              </a:solidFill>
              <a:latin typeface="Arial" panose="020B0604020202020204" pitchFamily="34" charset="0"/>
              <a:ea typeface="Open Sans" panose="020B0606030504020204" pitchFamily="34" charset="0"/>
              <a:cs typeface="Arial" panose="020B0604020202020204" pitchFamily="34" charset="0"/>
            </a:defRPr>
          </a:pPr>
          <a:endParaRPr lang="en-US"/>
        </a:p>
      </c:txPr>
    </c:legend>
    <c:plotVisOnly val="1"/>
    <c:dispBlanksAs val="gap"/>
    <c:showDLblsOverMax val="0"/>
  </c:chart>
  <c:spPr>
    <a:noFill/>
    <a:ln>
      <a:noFill/>
    </a:ln>
  </c:spPr>
  <c:printSettings>
    <c:headerFooter/>
    <c:pageMargins b="0.75" l="0.7" r="0.7" t="0.75" header="0.3" footer="0.3"/>
    <c:pageSetup orientation="portrait"/>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34"/>
    </mc:Choice>
    <mc:Fallback>
      <c:style val="34"/>
    </mc:Fallback>
  </mc:AlternateContent>
  <c:clrMapOvr bg1="lt1" tx1="dk1" bg2="lt2" tx2="dk2" accent1="accent1" accent2="accent2" accent3="accent3" accent4="accent4" accent5="accent5" accent6="accent6" hlink="hlink" folHlink="folHlink"/>
  <c:chart>
    <c:title>
      <c:tx>
        <c:rich>
          <a:bodyPr/>
          <a:lstStyle/>
          <a:p>
            <a:pPr algn="ctr" rtl="0">
              <a:defRPr lang="en-US" sz="1400" b="0" i="0" u="none" strike="noStrike" kern="1200" baseline="0">
                <a:solidFill>
                  <a:srgbClr val="12284C"/>
                </a:solidFill>
                <a:latin typeface="Open Sans Semibold" panose="020B0706030804020204" pitchFamily="34" charset="0"/>
                <a:ea typeface="Open Sans Semibold" panose="020B0706030804020204" pitchFamily="34" charset="0"/>
                <a:cs typeface="Open Sans Semibold" panose="020B0706030804020204" pitchFamily="34" charset="0"/>
              </a:defRPr>
            </a:pPr>
            <a:r>
              <a:rPr lang="en-US" sz="1400" b="0" i="0" u="none" strike="noStrike" kern="1200" baseline="0">
                <a:solidFill>
                  <a:srgbClr val="12284C"/>
                </a:solidFill>
                <a:latin typeface="Arial" panose="020B0604020202020204" pitchFamily="34" charset="0"/>
                <a:ea typeface="Open Sans Semibold" panose="020B0706030804020204" pitchFamily="34" charset="0"/>
                <a:cs typeface="Arial" panose="020B0604020202020204" pitchFamily="34" charset="0"/>
              </a:rPr>
              <a:t>Summary of General and Supplemental General Fund</a:t>
            </a:r>
          </a:p>
          <a:p>
            <a:pPr algn="ctr" rtl="0">
              <a:defRPr lang="en-US" sz="1400" b="0" i="0" u="none" strike="noStrike" kern="1200" baseline="0">
                <a:solidFill>
                  <a:srgbClr val="12284C"/>
                </a:solidFill>
                <a:latin typeface="Open Sans Semibold" panose="020B0706030804020204" pitchFamily="34" charset="0"/>
                <a:ea typeface="Open Sans Semibold" panose="020B0706030804020204" pitchFamily="34" charset="0"/>
                <a:cs typeface="Open Sans Semibold" panose="020B0706030804020204" pitchFamily="34" charset="0"/>
              </a:defRPr>
            </a:pPr>
            <a:r>
              <a:rPr lang="en-US" sz="1400" b="0" i="0" u="none" strike="noStrike" kern="1200" baseline="0">
                <a:solidFill>
                  <a:srgbClr val="12284C"/>
                </a:solidFill>
                <a:latin typeface="Arial" panose="020B0604020202020204" pitchFamily="34" charset="0"/>
                <a:ea typeface="Open Sans Semibold" panose="020B0706030804020204" pitchFamily="34" charset="0"/>
                <a:cs typeface="Arial" panose="020B0604020202020204" pitchFamily="34" charset="0"/>
              </a:rPr>
              <a:t>Expenditures by Function</a:t>
            </a:r>
          </a:p>
        </c:rich>
      </c:tx>
      <c:layout>
        <c:manualLayout>
          <c:xMode val="edge"/>
          <c:yMode val="edge"/>
          <c:x val="0.27961438207709255"/>
          <c:y val="4.8109250695122598E-2"/>
        </c:manualLayout>
      </c:layout>
      <c:overlay val="0"/>
    </c:title>
    <c:autoTitleDeleted val="0"/>
    <c:view3D>
      <c:rotX val="15"/>
      <c:rotY val="20"/>
      <c:depthPercent val="100"/>
      <c:rAngAx val="1"/>
    </c:view3D>
    <c:floor>
      <c:thickness val="0"/>
      <c:spPr>
        <a:gradFill flip="none" rotWithShape="1">
          <a:gsLst>
            <a:gs pos="0">
              <a:srgbClr val="12284C">
                <a:lumMod val="5000"/>
                <a:lumOff val="95000"/>
              </a:srgbClr>
            </a:gs>
            <a:gs pos="74000">
              <a:srgbClr val="12284C">
                <a:lumMod val="45000"/>
                <a:lumOff val="55000"/>
              </a:srgbClr>
            </a:gs>
            <a:gs pos="83000">
              <a:srgbClr val="12284C">
                <a:lumMod val="45000"/>
                <a:lumOff val="55000"/>
              </a:srgbClr>
            </a:gs>
            <a:gs pos="100000">
              <a:srgbClr val="12284C">
                <a:lumMod val="30000"/>
                <a:lumOff val="70000"/>
              </a:srgbClr>
            </a:gs>
          </a:gsLst>
          <a:path path="circle">
            <a:fillToRect l="100000" t="100000"/>
          </a:path>
          <a:tileRect r="-100000" b="-100000"/>
        </a:gradFill>
        <a:ln>
          <a:solidFill>
            <a:srgbClr val="12284C"/>
          </a:solidFill>
        </a:ln>
      </c:spPr>
    </c:floor>
    <c:sideWall>
      <c:thickness val="0"/>
      <c:spPr>
        <a:gradFill flip="none" rotWithShape="1">
          <a:gsLst>
            <a:gs pos="0">
              <a:srgbClr val="12284C">
                <a:lumMod val="5000"/>
                <a:lumOff val="95000"/>
              </a:srgbClr>
            </a:gs>
            <a:gs pos="74000">
              <a:srgbClr val="12284C">
                <a:lumMod val="45000"/>
                <a:lumOff val="55000"/>
              </a:srgbClr>
            </a:gs>
            <a:gs pos="83000">
              <a:srgbClr val="12284C">
                <a:lumMod val="45000"/>
                <a:lumOff val="55000"/>
              </a:srgbClr>
            </a:gs>
            <a:gs pos="100000">
              <a:srgbClr val="12284C">
                <a:lumMod val="30000"/>
                <a:lumOff val="70000"/>
              </a:srgbClr>
            </a:gs>
          </a:gsLst>
          <a:path path="circle">
            <a:fillToRect l="100000" t="100000"/>
          </a:path>
          <a:tileRect r="-100000" b="-100000"/>
        </a:gradFill>
        <a:ln>
          <a:solidFill>
            <a:srgbClr val="12284C"/>
          </a:solidFill>
        </a:ln>
      </c:spPr>
    </c:sideWall>
    <c:backWall>
      <c:thickness val="0"/>
      <c:spPr>
        <a:gradFill flip="none" rotWithShape="1">
          <a:gsLst>
            <a:gs pos="0">
              <a:srgbClr val="12284C">
                <a:lumMod val="5000"/>
                <a:lumOff val="95000"/>
              </a:srgbClr>
            </a:gs>
            <a:gs pos="74000">
              <a:srgbClr val="12284C">
                <a:lumMod val="45000"/>
                <a:lumOff val="55000"/>
              </a:srgbClr>
            </a:gs>
            <a:gs pos="83000">
              <a:srgbClr val="12284C">
                <a:lumMod val="45000"/>
                <a:lumOff val="55000"/>
              </a:srgbClr>
            </a:gs>
            <a:gs pos="100000">
              <a:srgbClr val="12284C">
                <a:lumMod val="30000"/>
                <a:lumOff val="70000"/>
              </a:srgbClr>
            </a:gs>
          </a:gsLst>
          <a:path path="circle">
            <a:fillToRect l="100000" t="100000"/>
          </a:path>
          <a:tileRect r="-100000" b="-100000"/>
        </a:gradFill>
        <a:ln>
          <a:solidFill>
            <a:srgbClr val="12284C"/>
          </a:solidFill>
        </a:ln>
      </c:spPr>
    </c:backWall>
    <c:plotArea>
      <c:layout>
        <c:manualLayout>
          <c:layoutTarget val="inner"/>
          <c:xMode val="edge"/>
          <c:yMode val="edge"/>
          <c:x val="7.2835096405551678E-2"/>
          <c:y val="0.23407685577764314"/>
          <c:w val="0.82797458008469327"/>
          <c:h val="0.63838110773941859"/>
        </c:manualLayout>
      </c:layout>
      <c:bar3DChart>
        <c:barDir val="col"/>
        <c:grouping val="clustered"/>
        <c:varyColors val="0"/>
        <c:ser>
          <c:idx val="0"/>
          <c:order val="0"/>
          <c:tx>
            <c:strRef>
              <c:f>SUMEXPEN!$P$213</c:f>
              <c:strCache>
                <c:ptCount val="1"/>
                <c:pt idx="0">
                  <c:v>2023-2024</c:v>
                </c:pt>
              </c:strCache>
            </c:strRef>
          </c:tx>
          <c:spPr>
            <a:solidFill>
              <a:srgbClr val="FFA400"/>
            </a:solidFill>
            <a:ln>
              <a:solidFill>
                <a:srgbClr val="D28700"/>
              </a:solidFill>
            </a:ln>
          </c:spPr>
          <c:invertIfNegative val="0"/>
          <c:dLbls>
            <c:dLbl>
              <c:idx val="0"/>
              <c:layout>
                <c:manualLayout>
                  <c:x val="-2.7293364173900086E-3"/>
                  <c:y val="-8.1510395156591517E-2"/>
                </c:manualLayout>
              </c:layout>
              <c:spPr>
                <a:noFill/>
                <a:ln>
                  <a:noFill/>
                </a:ln>
                <a:effectLst/>
              </c:spPr>
              <c:txPr>
                <a:bodyPr rot="-5400000" vertOverflow="clip" horzOverflow="clip" vert="horz" wrap="square" lIns="0" tIns="0" rIns="0" bIns="0" numCol="1" spcCol="0" anchor="ctr" anchorCtr="0">
                  <a:noAutofit/>
                </a:bodyPr>
                <a:lstStyle/>
                <a:p>
                  <a:pPr algn="l">
                    <a:defRPr sz="900">
                      <a:latin typeface="Arial" panose="020B0604020202020204" pitchFamily="34" charset="0"/>
                      <a:ea typeface="Open Sans Light" panose="020B0306030504020204" pitchFamily="34" charset="0"/>
                      <a:cs typeface="Arial" panose="020B0604020202020204" pitchFamily="34" charset="0"/>
                    </a:defRPr>
                  </a:pPr>
                  <a:endParaRPr lang="en-US"/>
                </a:p>
              </c:txPr>
              <c:showLegendKey val="0"/>
              <c:showVal val="1"/>
              <c:showCatName val="0"/>
              <c:showSerName val="0"/>
              <c:showPercent val="0"/>
              <c:showBubbleSize val="0"/>
              <c:extLst>
                <c:ext xmlns:c15="http://schemas.microsoft.com/office/drawing/2012/chart" uri="{CE6537A1-D6FC-4f65-9D91-7224C49458BB}">
                  <c15:layout>
                    <c:manualLayout>
                      <c:w val="8.2231374097685078E-2"/>
                      <c:h val="6.763604785366191E-2"/>
                    </c:manualLayout>
                  </c15:layout>
                </c:ext>
                <c:ext xmlns:c16="http://schemas.microsoft.com/office/drawing/2014/chart" uri="{C3380CC4-5D6E-409C-BE32-E72D297353CC}">
                  <c16:uniqueId val="{00000000-6BC4-471D-8D7E-5DA2AD096B36}"/>
                </c:ext>
              </c:extLst>
            </c:dLbl>
            <c:spPr>
              <a:noFill/>
              <a:ln>
                <a:noFill/>
              </a:ln>
              <a:effectLst/>
            </c:spPr>
            <c:txPr>
              <a:bodyPr rot="-5400000" vertOverflow="clip" horzOverflow="clip" vert="horz" wrap="square" lIns="0" tIns="0" rIns="0" bIns="0" numCol="1" spcCol="0" anchor="ctr" anchorCtr="0">
                <a:spAutoFit/>
              </a:bodyPr>
              <a:lstStyle/>
              <a:p>
                <a:pPr algn="l">
                  <a:defRPr sz="900">
                    <a:latin typeface="Arial" panose="020B0604020202020204" pitchFamily="34" charset="0"/>
                    <a:ea typeface="Open Sans Light" panose="020B0306030504020204" pitchFamily="34" charset="0"/>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cat>
            <c:strRef>
              <c:f>(SUMEXPEN!$O$214:$O$219,SUMEXPEN!$O$221)</c:f>
              <c:strCache>
                <c:ptCount val="7"/>
                <c:pt idx="0">
                  <c:v>Instruction</c:v>
                </c:pt>
                <c:pt idx="1">
                  <c:v>Student Support</c:v>
                </c:pt>
                <c:pt idx="2">
                  <c:v>Instructional Support</c:v>
                </c:pt>
                <c:pt idx="3">
                  <c:v>Administration &amp; Support</c:v>
                </c:pt>
                <c:pt idx="4">
                  <c:v>Operations &amp; Maintenance</c:v>
                </c:pt>
                <c:pt idx="5">
                  <c:v>Transportation</c:v>
                </c:pt>
                <c:pt idx="6">
                  <c:v>Other Costs</c:v>
                </c:pt>
              </c:strCache>
            </c:strRef>
          </c:cat>
          <c:val>
            <c:numRef>
              <c:f>(SUMEXPEN!$P$214:$P$219,SUMEXPEN!$P$221)</c:f>
              <c:numCache>
                <c:formatCode>"$"#,##0</c:formatCode>
                <c:ptCount val="7"/>
                <c:pt idx="0">
                  <c:v>516640</c:v>
                </c:pt>
                <c:pt idx="1">
                  <c:v>2063</c:v>
                </c:pt>
                <c:pt idx="2">
                  <c:v>0</c:v>
                </c:pt>
                <c:pt idx="3">
                  <c:v>230019</c:v>
                </c:pt>
                <c:pt idx="4">
                  <c:v>249852</c:v>
                </c:pt>
                <c:pt idx="5">
                  <c:v>52305</c:v>
                </c:pt>
                <c:pt idx="6">
                  <c:v>7174</c:v>
                </c:pt>
              </c:numCache>
            </c:numRef>
          </c:val>
          <c:extLst>
            <c:ext xmlns:c16="http://schemas.microsoft.com/office/drawing/2014/chart" uri="{C3380CC4-5D6E-409C-BE32-E72D297353CC}">
              <c16:uniqueId val="{00000001-6BC4-471D-8D7E-5DA2AD096B36}"/>
            </c:ext>
          </c:extLst>
        </c:ser>
        <c:ser>
          <c:idx val="1"/>
          <c:order val="1"/>
          <c:tx>
            <c:strRef>
              <c:f>SUMEXPEN!$Q$213</c:f>
              <c:strCache>
                <c:ptCount val="1"/>
                <c:pt idx="0">
                  <c:v>2024-2025</c:v>
                </c:pt>
              </c:strCache>
            </c:strRef>
          </c:tx>
          <c:spPr>
            <a:solidFill>
              <a:srgbClr val="D50032"/>
            </a:solidFill>
            <a:ln>
              <a:solidFill>
                <a:srgbClr val="B7312C"/>
              </a:solidFill>
            </a:ln>
          </c:spPr>
          <c:invertIfNegative val="0"/>
          <c:dLbls>
            <c:dLbl>
              <c:idx val="0"/>
              <c:layout>
                <c:manualLayout>
                  <c:x val="5.3729210153746133E-8"/>
                  <c:y val="-9.2142185829190371E-2"/>
                </c:manualLayout>
              </c:layout>
              <c:spPr>
                <a:noFill/>
                <a:ln>
                  <a:noFill/>
                </a:ln>
                <a:effectLst/>
              </c:spPr>
              <c:txPr>
                <a:bodyPr rot="-5400000" vertOverflow="clip" horzOverflow="clip" vert="horz" wrap="square" lIns="38100" tIns="19050" rIns="38100" bIns="19050" anchor="ctr" anchorCtr="0">
                  <a:noAutofit/>
                </a:bodyPr>
                <a:lstStyle/>
                <a:p>
                  <a:pPr algn="l">
                    <a:defRPr sz="900">
                      <a:latin typeface="Arial" panose="020B0604020202020204" pitchFamily="34" charset="0"/>
                      <a:ea typeface="Open Sans Light" panose="020B0306030504020204" pitchFamily="34" charset="0"/>
                      <a:cs typeface="Arial" panose="020B0604020202020204" pitchFamily="34" charset="0"/>
                    </a:defRPr>
                  </a:pPr>
                  <a:endParaRPr lang="en-US"/>
                </a:p>
              </c:txPr>
              <c:showLegendKey val="0"/>
              <c:showVal val="1"/>
              <c:showCatName val="0"/>
              <c:showSerName val="0"/>
              <c:showPercent val="0"/>
              <c:showBubbleSize val="0"/>
              <c:extLst>
                <c:ext xmlns:c15="http://schemas.microsoft.com/office/drawing/2012/chart" uri="{CE6537A1-D6FC-4f65-9D91-7224C49458BB}">
                  <c15:layout>
                    <c:manualLayout>
                      <c:w val="9.3149149600926281E-2"/>
                      <c:h val="5.346032695686339E-2"/>
                    </c:manualLayout>
                  </c15:layout>
                </c:ext>
                <c:ext xmlns:c16="http://schemas.microsoft.com/office/drawing/2014/chart" uri="{C3380CC4-5D6E-409C-BE32-E72D297353CC}">
                  <c16:uniqueId val="{00000002-6BC4-471D-8D7E-5DA2AD096B36}"/>
                </c:ext>
              </c:extLst>
            </c:dLbl>
            <c:spPr>
              <a:noFill/>
              <a:ln>
                <a:noFill/>
              </a:ln>
              <a:effectLst/>
            </c:spPr>
            <c:txPr>
              <a:bodyPr rot="-5400000" vertOverflow="clip" horzOverflow="clip" vert="horz" wrap="square" lIns="38100" tIns="19050" rIns="38100" bIns="19050" anchor="ctr" anchorCtr="0">
                <a:spAutoFit/>
              </a:bodyPr>
              <a:lstStyle/>
              <a:p>
                <a:pPr algn="l">
                  <a:defRPr sz="900">
                    <a:latin typeface="Arial" panose="020B0604020202020204" pitchFamily="34" charset="0"/>
                    <a:ea typeface="Open Sans Light" panose="020B0306030504020204" pitchFamily="34" charset="0"/>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(SUMEXPEN!$O$214:$O$219,SUMEXPEN!$O$221)</c:f>
              <c:strCache>
                <c:ptCount val="7"/>
                <c:pt idx="0">
                  <c:v>Instruction</c:v>
                </c:pt>
                <c:pt idx="1">
                  <c:v>Student Support</c:v>
                </c:pt>
                <c:pt idx="2">
                  <c:v>Instructional Support</c:v>
                </c:pt>
                <c:pt idx="3">
                  <c:v>Administration &amp; Support</c:v>
                </c:pt>
                <c:pt idx="4">
                  <c:v>Operations &amp; Maintenance</c:v>
                </c:pt>
                <c:pt idx="5">
                  <c:v>Transportation</c:v>
                </c:pt>
                <c:pt idx="6">
                  <c:v>Other Costs</c:v>
                </c:pt>
              </c:strCache>
            </c:strRef>
          </c:cat>
          <c:val>
            <c:numRef>
              <c:f>(SUMEXPEN!$Q$214:$Q$219,SUMEXPEN!$Q$221)</c:f>
              <c:numCache>
                <c:formatCode>"$"#,##0</c:formatCode>
                <c:ptCount val="7"/>
                <c:pt idx="0">
                  <c:v>509814</c:v>
                </c:pt>
                <c:pt idx="1">
                  <c:v>267</c:v>
                </c:pt>
                <c:pt idx="2">
                  <c:v>195</c:v>
                </c:pt>
                <c:pt idx="3">
                  <c:v>241259</c:v>
                </c:pt>
                <c:pt idx="4">
                  <c:v>199155</c:v>
                </c:pt>
                <c:pt idx="5">
                  <c:v>56003</c:v>
                </c:pt>
                <c:pt idx="6">
                  <c:v>219</c:v>
                </c:pt>
              </c:numCache>
            </c:numRef>
          </c:val>
          <c:extLst>
            <c:ext xmlns:c16="http://schemas.microsoft.com/office/drawing/2014/chart" uri="{C3380CC4-5D6E-409C-BE32-E72D297353CC}">
              <c16:uniqueId val="{00000003-6BC4-471D-8D7E-5DA2AD096B36}"/>
            </c:ext>
          </c:extLst>
        </c:ser>
        <c:ser>
          <c:idx val="2"/>
          <c:order val="2"/>
          <c:tx>
            <c:strRef>
              <c:f>SUMEXPEN!$R$213</c:f>
              <c:strCache>
                <c:ptCount val="1"/>
                <c:pt idx="0">
                  <c:v>2025-2026</c:v>
                </c:pt>
              </c:strCache>
            </c:strRef>
          </c:tx>
          <c:spPr>
            <a:solidFill>
              <a:srgbClr val="00B796"/>
            </a:solidFill>
            <a:ln>
              <a:solidFill>
                <a:srgbClr val="008269"/>
              </a:solidFill>
            </a:ln>
          </c:spPr>
          <c:invertIfNegative val="0"/>
          <c:dLbls>
            <c:dLbl>
              <c:idx val="0"/>
              <c:layout>
                <c:manualLayout>
                  <c:x val="3.7037698779965739E-3"/>
                  <c:y val="2.9239458119876848E-3"/>
                </c:manualLayout>
              </c:layout>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4-6BC4-471D-8D7E-5DA2AD096B36}"/>
                </c:ext>
              </c:extLst>
            </c:dLbl>
            <c:dLbl>
              <c:idx val="1"/>
              <c:layout>
                <c:manualLayout>
                  <c:x val="3.843501944714554E-3"/>
                  <c:y val="2.1330480127978724E-3"/>
                </c:manualLayout>
              </c:layout>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5-6BC4-471D-8D7E-5DA2AD096B36}"/>
                </c:ext>
              </c:extLst>
            </c:dLbl>
            <c:dLbl>
              <c:idx val="2"/>
              <c:layout>
                <c:manualLayout>
                  <c:x val="5.6487475897410164E-3"/>
                  <c:y val="-5.7825192695241242E-3"/>
                </c:manualLayout>
              </c:layout>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6-6BC4-471D-8D7E-5DA2AD096B36}"/>
                </c:ext>
              </c:extLst>
            </c:dLbl>
            <c:dLbl>
              <c:idx val="3"/>
              <c:layout>
                <c:manualLayout>
                  <c:x val="3.7968411209221118E-3"/>
                  <c:y val="-8.9265161116074219E-3"/>
                </c:manualLayout>
              </c:layout>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7-6BC4-471D-8D7E-5DA2AD096B36}"/>
                </c:ext>
              </c:extLst>
            </c:dLbl>
            <c:dLbl>
              <c:idx val="4"/>
              <c:layout>
                <c:manualLayout>
                  <c:x val="7.4853050888708927E-3"/>
                  <c:y val="2.0729899705447022E-3"/>
                </c:manualLayout>
              </c:layout>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8-6BC4-471D-8D7E-5DA2AD096B36}"/>
                </c:ext>
              </c:extLst>
            </c:dLbl>
            <c:dLbl>
              <c:idx val="5"/>
              <c:layout>
                <c:manualLayout>
                  <c:x val="7.0417653226110587E-3"/>
                  <c:y val="1.1675166830514897E-4"/>
                </c:manualLayout>
              </c:layout>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9-6BC4-471D-8D7E-5DA2AD096B36}"/>
                </c:ext>
              </c:extLst>
            </c:dLbl>
            <c:dLbl>
              <c:idx val="6"/>
              <c:layout>
                <c:manualLayout>
                  <c:x val="5.6487475897408794E-3"/>
                  <c:y val="-5.7825192695241242E-3"/>
                </c:manualLayout>
              </c:layout>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A-6BC4-471D-8D7E-5DA2AD096B36}"/>
                </c:ext>
              </c:extLst>
            </c:dLbl>
            <c:dLbl>
              <c:idx val="7"/>
              <c:layout>
                <c:manualLayout>
                  <c:x val="3.1199477752077306E-3"/>
                  <c:y val="-9.0172095484084124E-3"/>
                </c:manualLayout>
              </c:layout>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B-6BC4-471D-8D7E-5DA2AD096B36}"/>
                </c:ext>
              </c:extLst>
            </c:dLbl>
            <c:dLbl>
              <c:idx val="8"/>
              <c:layout>
                <c:manualLayout>
                  <c:x val="4.8750661540899014E-3"/>
                  <c:y val="-8.4211595516453883E-3"/>
                </c:manualLayout>
              </c:layout>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C-6BC4-471D-8D7E-5DA2AD096B36}"/>
                </c:ext>
              </c:extLst>
            </c:dLbl>
            <c:spPr>
              <a:noFill/>
              <a:ln>
                <a:noFill/>
              </a:ln>
              <a:effectLst/>
            </c:spPr>
            <c:txPr>
              <a:bodyPr rot="-5400000" vertOverflow="clip" horzOverflow="clip" vert="horz" wrap="square" lIns="38100" tIns="19050" rIns="38100" bIns="19050" anchor="ctr" anchorCtr="0">
                <a:spAutoFit/>
              </a:bodyPr>
              <a:lstStyle/>
              <a:p>
                <a:pPr algn="l">
                  <a:defRPr sz="900">
                    <a:latin typeface="Arial" panose="020B0604020202020204" pitchFamily="34" charset="0"/>
                    <a:ea typeface="Open Sans Light" panose="020B0306030504020204" pitchFamily="34" charset="0"/>
                    <a:cs typeface="Arial" panose="020B0604020202020204" pitchFamily="34" charset="0"/>
                  </a:defRPr>
                </a:pPr>
                <a:endParaRPr lang="en-US"/>
              </a:p>
            </c:txPr>
            <c:showLegendKey val="0"/>
            <c:showVal val="1"/>
            <c:showCatName val="0"/>
            <c:showSerName val="0"/>
            <c:showPercent val="0"/>
            <c:showBubbleSize val="0"/>
            <c:separator> </c:separator>
            <c:showLeaderLines val="0"/>
            <c:extLst>
              <c:ext xmlns:c15="http://schemas.microsoft.com/office/drawing/2012/chart" uri="{CE6537A1-D6FC-4f65-9D91-7224C49458BB}">
                <c15:showLeaderLines val="0"/>
              </c:ext>
            </c:extLst>
          </c:dLbls>
          <c:cat>
            <c:strRef>
              <c:f>(SUMEXPEN!$O$214:$O$219,SUMEXPEN!$O$221)</c:f>
              <c:strCache>
                <c:ptCount val="7"/>
                <c:pt idx="0">
                  <c:v>Instruction</c:v>
                </c:pt>
                <c:pt idx="1">
                  <c:v>Student Support</c:v>
                </c:pt>
                <c:pt idx="2">
                  <c:v>Instructional Support</c:v>
                </c:pt>
                <c:pt idx="3">
                  <c:v>Administration &amp; Support</c:v>
                </c:pt>
                <c:pt idx="4">
                  <c:v>Operations &amp; Maintenance</c:v>
                </c:pt>
                <c:pt idx="5">
                  <c:v>Transportation</c:v>
                </c:pt>
                <c:pt idx="6">
                  <c:v>Other Costs</c:v>
                </c:pt>
              </c:strCache>
            </c:strRef>
          </c:cat>
          <c:val>
            <c:numRef>
              <c:f>(SUMEXPEN!$R$214:$R$219,SUMEXPEN!$R$221)</c:f>
              <c:numCache>
                <c:formatCode>"$"#,##0</c:formatCode>
                <c:ptCount val="7"/>
                <c:pt idx="0">
                  <c:v>588606</c:v>
                </c:pt>
                <c:pt idx="1">
                  <c:v>0</c:v>
                </c:pt>
                <c:pt idx="2">
                  <c:v>100</c:v>
                </c:pt>
                <c:pt idx="3">
                  <c:v>249850</c:v>
                </c:pt>
                <c:pt idx="4">
                  <c:v>378442</c:v>
                </c:pt>
                <c:pt idx="5">
                  <c:v>69599</c:v>
                </c:pt>
                <c:pt idx="6">
                  <c:v>0</c:v>
                </c:pt>
              </c:numCache>
            </c:numRef>
          </c:val>
          <c:extLst>
            <c:ext xmlns:c16="http://schemas.microsoft.com/office/drawing/2014/chart" uri="{C3380CC4-5D6E-409C-BE32-E72D297353CC}">
              <c16:uniqueId val="{0000000D-6BC4-471D-8D7E-5DA2AD096B36}"/>
            </c:ext>
          </c:extLst>
        </c:ser>
        <c:dLbls>
          <c:showLegendKey val="0"/>
          <c:showVal val="1"/>
          <c:showCatName val="0"/>
          <c:showSerName val="0"/>
          <c:showPercent val="0"/>
          <c:showBubbleSize val="0"/>
        </c:dLbls>
        <c:gapWidth val="150"/>
        <c:shape val="box"/>
        <c:axId val="128185088"/>
        <c:axId val="128186624"/>
        <c:axId val="0"/>
      </c:bar3DChart>
      <c:catAx>
        <c:axId val="128185088"/>
        <c:scaling>
          <c:orientation val="minMax"/>
        </c:scaling>
        <c:delete val="0"/>
        <c:axPos val="b"/>
        <c:numFmt formatCode="General" sourceLinked="1"/>
        <c:majorTickMark val="none"/>
        <c:minorTickMark val="none"/>
        <c:tickLblPos val="nextTo"/>
        <c:spPr>
          <a:noFill/>
        </c:spPr>
        <c:txPr>
          <a:bodyPr rot="0" anchor="t" anchorCtr="0"/>
          <a:lstStyle/>
          <a:p>
            <a:pPr>
              <a:defRPr sz="900" b="0" baseline="0">
                <a:solidFill>
                  <a:sysClr val="windowText" lastClr="000000"/>
                </a:solidFill>
                <a:latin typeface="Arial" panose="020B0604020202020204" pitchFamily="34" charset="0"/>
                <a:ea typeface="Open Sans" panose="020B0606030504020204" pitchFamily="34" charset="0"/>
                <a:cs typeface="Arial" panose="020B0604020202020204" pitchFamily="34" charset="0"/>
              </a:defRPr>
            </a:pPr>
            <a:endParaRPr lang="en-US"/>
          </a:p>
        </c:txPr>
        <c:crossAx val="128186624"/>
        <c:crosses val="autoZero"/>
        <c:auto val="1"/>
        <c:lblAlgn val="ctr"/>
        <c:lblOffset val="100"/>
        <c:noMultiLvlLbl val="0"/>
      </c:catAx>
      <c:valAx>
        <c:axId val="128186624"/>
        <c:scaling>
          <c:orientation val="minMax"/>
        </c:scaling>
        <c:delete val="0"/>
        <c:axPos val="l"/>
        <c:majorGridlines>
          <c:spPr>
            <a:ln>
              <a:solidFill>
                <a:srgbClr val="53565A"/>
              </a:solidFill>
            </a:ln>
          </c:spPr>
        </c:majorGridlines>
        <c:numFmt formatCode="&quot;$&quot;#,##0" sourceLinked="1"/>
        <c:majorTickMark val="none"/>
        <c:minorTickMark val="none"/>
        <c:tickLblPos val="nextTo"/>
        <c:spPr>
          <a:ln>
            <a:solidFill>
              <a:srgbClr val="53565A"/>
            </a:solidFill>
          </a:ln>
        </c:spPr>
        <c:txPr>
          <a:bodyPr/>
          <a:lstStyle/>
          <a:p>
            <a:pPr>
              <a:defRPr sz="900" baseline="0">
                <a:latin typeface="Arial" panose="020B0604020202020204" pitchFamily="34" charset="0"/>
                <a:ea typeface="Open Sans" panose="020B0606030504020204" pitchFamily="34" charset="0"/>
                <a:cs typeface="Arial" panose="020B0604020202020204" pitchFamily="34" charset="0"/>
              </a:defRPr>
            </a:pPr>
            <a:endParaRPr lang="en-US"/>
          </a:p>
        </c:txPr>
        <c:crossAx val="128185088"/>
        <c:crosses val="autoZero"/>
        <c:crossBetween val="between"/>
      </c:valAx>
      <c:spPr>
        <a:solidFill>
          <a:schemeClr val="bg1"/>
        </a:solidFill>
        <a:ln>
          <a:noFill/>
        </a:ln>
      </c:spPr>
    </c:plotArea>
    <c:legend>
      <c:legendPos val="r"/>
      <c:layout>
        <c:manualLayout>
          <c:xMode val="edge"/>
          <c:yMode val="edge"/>
          <c:x val="0.89356753003430045"/>
          <c:y val="0.47546282641546811"/>
          <c:w val="9.6564415929897771E-2"/>
          <c:h val="0.20905102180146556"/>
        </c:manualLayout>
      </c:layout>
      <c:overlay val="0"/>
      <c:txPr>
        <a:bodyPr/>
        <a:lstStyle/>
        <a:p>
          <a:pPr>
            <a:defRPr sz="900" b="0">
              <a:solidFill>
                <a:sysClr val="windowText" lastClr="000000"/>
              </a:solidFill>
              <a:latin typeface="Arial" panose="020B0604020202020204" pitchFamily="34" charset="0"/>
              <a:ea typeface="Open Sans" panose="020B0606030504020204" pitchFamily="34" charset="0"/>
              <a:cs typeface="Arial" panose="020B0604020202020204" pitchFamily="34" charset="0"/>
            </a:defRPr>
          </a:pPr>
          <a:endParaRPr lang="en-US"/>
        </a:p>
      </c:txPr>
    </c:legend>
    <c:plotVisOnly val="1"/>
    <c:dispBlanksAs val="gap"/>
    <c:showDLblsOverMax val="0"/>
  </c:chart>
  <c:spPr>
    <a:noFill/>
    <a:ln>
      <a:noFill/>
    </a:ln>
  </c:spPr>
  <c:printSettings>
    <c:headerFooter/>
    <c:pageMargins b="0.75" l="0.7" r="0.7" t="0.75" header="0.3" footer="0.3"/>
    <c:pageSetup orientation="portrait"/>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34"/>
    </mc:Choice>
    <mc:Fallback>
      <c:style val="34"/>
    </mc:Fallback>
  </mc:AlternateContent>
  <c:clrMapOvr bg1="lt1" tx1="dk1" bg2="lt2" tx2="dk2" accent1="accent1" accent2="accent2" accent3="accent3" accent4="accent4" accent5="accent5" accent6="accent6" hlink="hlink" folHlink="folHlink"/>
  <c:chart>
    <c:title>
      <c:tx>
        <c:rich>
          <a:bodyPr/>
          <a:lstStyle/>
          <a:p>
            <a:pPr>
              <a:defRPr sz="1400" b="0">
                <a:solidFill>
                  <a:srgbClr val="53565A"/>
                </a:solidFill>
                <a:latin typeface="Open Sans Semibold" panose="020B0706030804020204" pitchFamily="34" charset="0"/>
                <a:ea typeface="Open Sans Semibold" panose="020B0706030804020204" pitchFamily="34" charset="0"/>
                <a:cs typeface="Open Sans Semibold" panose="020B0706030804020204" pitchFamily="34" charset="0"/>
              </a:defRPr>
            </a:pPr>
            <a:r>
              <a:rPr lang="en-US">
                <a:latin typeface="Arial" panose="020B0604020202020204" pitchFamily="34" charset="0"/>
                <a:ea typeface="Open Sans Semibold" panose="020B0706030804020204" pitchFamily="34" charset="0"/>
                <a:cs typeface="Arial" panose="020B0604020202020204" pitchFamily="34" charset="0"/>
              </a:rPr>
              <a:t>Instruction Expenditures (1000)</a:t>
            </a:r>
          </a:p>
        </c:rich>
      </c:tx>
      <c:layout>
        <c:manualLayout>
          <c:xMode val="edge"/>
          <c:yMode val="edge"/>
          <c:x val="0.29509295887307646"/>
          <c:y val="4.7878326626778184E-2"/>
        </c:manualLayout>
      </c:layout>
      <c:overlay val="0"/>
    </c:title>
    <c:autoTitleDeleted val="0"/>
    <c:view3D>
      <c:rotX val="15"/>
      <c:rotY val="20"/>
      <c:depthPercent val="100"/>
      <c:rAngAx val="1"/>
    </c:view3D>
    <c:floor>
      <c:thickness val="0"/>
      <c:spPr>
        <a:gradFill flip="none" rotWithShape="1">
          <a:gsLst>
            <a:gs pos="0">
              <a:srgbClr val="12284C">
                <a:lumMod val="5000"/>
                <a:lumOff val="95000"/>
              </a:srgbClr>
            </a:gs>
            <a:gs pos="74000">
              <a:srgbClr val="12284C">
                <a:lumMod val="45000"/>
                <a:lumOff val="55000"/>
              </a:srgbClr>
            </a:gs>
            <a:gs pos="83000">
              <a:srgbClr val="12284C">
                <a:lumMod val="45000"/>
                <a:lumOff val="55000"/>
              </a:srgbClr>
            </a:gs>
            <a:gs pos="100000">
              <a:srgbClr val="12284C">
                <a:lumMod val="30000"/>
                <a:lumOff val="70000"/>
              </a:srgbClr>
            </a:gs>
          </a:gsLst>
          <a:path path="circle">
            <a:fillToRect l="100000" t="100000"/>
          </a:path>
          <a:tileRect r="-100000" b="-100000"/>
        </a:gradFill>
        <a:ln>
          <a:solidFill>
            <a:srgbClr val="12284C"/>
          </a:solidFill>
        </a:ln>
      </c:spPr>
    </c:floor>
    <c:sideWall>
      <c:thickness val="0"/>
      <c:spPr>
        <a:gradFill flip="none" rotWithShape="1">
          <a:gsLst>
            <a:gs pos="0">
              <a:srgbClr val="12284C">
                <a:lumMod val="5000"/>
                <a:lumOff val="95000"/>
              </a:srgbClr>
            </a:gs>
            <a:gs pos="74000">
              <a:srgbClr val="12284C">
                <a:lumMod val="45000"/>
                <a:lumOff val="55000"/>
              </a:srgbClr>
            </a:gs>
            <a:gs pos="83000">
              <a:srgbClr val="12284C">
                <a:lumMod val="45000"/>
                <a:lumOff val="55000"/>
              </a:srgbClr>
            </a:gs>
            <a:gs pos="100000">
              <a:srgbClr val="12284C">
                <a:lumMod val="30000"/>
                <a:lumOff val="70000"/>
              </a:srgbClr>
            </a:gs>
          </a:gsLst>
          <a:path path="circle">
            <a:fillToRect l="100000" t="100000"/>
          </a:path>
          <a:tileRect r="-100000" b="-100000"/>
        </a:gradFill>
        <a:ln>
          <a:solidFill>
            <a:srgbClr val="12284C"/>
          </a:solidFill>
        </a:ln>
      </c:spPr>
    </c:sideWall>
    <c:backWall>
      <c:thickness val="0"/>
      <c:spPr>
        <a:gradFill flip="none" rotWithShape="1">
          <a:gsLst>
            <a:gs pos="0">
              <a:srgbClr val="12284C">
                <a:lumMod val="5000"/>
                <a:lumOff val="95000"/>
              </a:srgbClr>
            </a:gs>
            <a:gs pos="74000">
              <a:srgbClr val="12284C">
                <a:lumMod val="45000"/>
                <a:lumOff val="55000"/>
              </a:srgbClr>
            </a:gs>
            <a:gs pos="83000">
              <a:srgbClr val="12284C">
                <a:lumMod val="45000"/>
                <a:lumOff val="55000"/>
              </a:srgbClr>
            </a:gs>
            <a:gs pos="100000">
              <a:srgbClr val="12284C">
                <a:lumMod val="30000"/>
                <a:lumOff val="70000"/>
              </a:srgbClr>
            </a:gs>
          </a:gsLst>
          <a:path path="circle">
            <a:fillToRect l="100000" t="100000"/>
          </a:path>
          <a:tileRect r="-100000" b="-100000"/>
        </a:gradFill>
        <a:ln>
          <a:solidFill>
            <a:srgbClr val="12284C"/>
          </a:solidFill>
        </a:ln>
      </c:spPr>
    </c:backWall>
    <c:plotArea>
      <c:layout>
        <c:manualLayout>
          <c:layoutTarget val="inner"/>
          <c:xMode val="edge"/>
          <c:yMode val="edge"/>
          <c:x val="3.0575644109563874E-2"/>
          <c:y val="0.16386807517302321"/>
          <c:w val="0.96942435589043607"/>
          <c:h val="0.72190394631117549"/>
        </c:manualLayout>
      </c:layout>
      <c:bar3DChart>
        <c:barDir val="col"/>
        <c:grouping val="clustered"/>
        <c:varyColors val="0"/>
        <c:ser>
          <c:idx val="0"/>
          <c:order val="0"/>
          <c:tx>
            <c:v>Instruction Expenditures</c:v>
          </c:tx>
          <c:spPr>
            <a:solidFill>
              <a:srgbClr val="FFA400"/>
            </a:solidFill>
            <a:ln>
              <a:solidFill>
                <a:srgbClr val="D28700"/>
              </a:solidFill>
            </a:ln>
          </c:spPr>
          <c:invertIfNegative val="0"/>
          <c:dPt>
            <c:idx val="1"/>
            <c:invertIfNegative val="0"/>
            <c:bubble3D val="0"/>
            <c:spPr>
              <a:solidFill>
                <a:srgbClr val="00B796"/>
              </a:solidFill>
              <a:ln>
                <a:solidFill>
                  <a:srgbClr val="008269"/>
                </a:solidFill>
              </a:ln>
            </c:spPr>
            <c:extLst>
              <c:ext xmlns:c16="http://schemas.microsoft.com/office/drawing/2014/chart" uri="{C3380CC4-5D6E-409C-BE32-E72D297353CC}">
                <c16:uniqueId val="{00000001-E1D2-4403-959B-F71D1F060ABE}"/>
              </c:ext>
            </c:extLst>
          </c:dPt>
          <c:dPt>
            <c:idx val="2"/>
            <c:invertIfNegative val="0"/>
            <c:bubble3D val="0"/>
            <c:spPr>
              <a:solidFill>
                <a:srgbClr val="B7312C"/>
              </a:solidFill>
              <a:ln>
                <a:solidFill>
                  <a:srgbClr val="7F241F"/>
                </a:solidFill>
              </a:ln>
            </c:spPr>
            <c:extLst>
              <c:ext xmlns:c16="http://schemas.microsoft.com/office/drawing/2014/chart" uri="{C3380CC4-5D6E-409C-BE32-E72D297353CC}">
                <c16:uniqueId val="{00000003-E1D2-4403-959B-F71D1F060ABE}"/>
              </c:ext>
            </c:extLst>
          </c:dPt>
          <c:dPt>
            <c:idx val="3"/>
            <c:invertIfNegative val="0"/>
            <c:bubble3D val="0"/>
            <c:spPr>
              <a:solidFill>
                <a:srgbClr val="005587"/>
              </a:solidFill>
              <a:ln>
                <a:solidFill>
                  <a:srgbClr val="12284C"/>
                </a:solidFill>
              </a:ln>
            </c:spPr>
            <c:extLst>
              <c:ext xmlns:c16="http://schemas.microsoft.com/office/drawing/2014/chart" uri="{C3380CC4-5D6E-409C-BE32-E72D297353CC}">
                <c16:uniqueId val="{00000005-E1D2-4403-959B-F71D1F060ABE}"/>
              </c:ext>
            </c:extLst>
          </c:dPt>
          <c:dPt>
            <c:idx val="4"/>
            <c:invertIfNegative val="0"/>
            <c:bubble3D val="0"/>
            <c:spPr>
              <a:solidFill>
                <a:srgbClr val="53565A"/>
              </a:solidFill>
              <a:ln>
                <a:solidFill>
                  <a:srgbClr val="383A3C"/>
                </a:solidFill>
              </a:ln>
            </c:spPr>
            <c:extLst>
              <c:ext xmlns:c16="http://schemas.microsoft.com/office/drawing/2014/chart" uri="{C3380CC4-5D6E-409C-BE32-E72D297353CC}">
                <c16:uniqueId val="{00000007-E1D2-4403-959B-F71D1F060ABE}"/>
              </c:ext>
            </c:extLst>
          </c:dPt>
          <c:dLbls>
            <c:dLbl>
              <c:idx val="0"/>
              <c:layout>
                <c:manualLayout>
                  <c:x val="1.0132073464371864E-2"/>
                  <c:y val="-3.8826413992771473E-2"/>
                </c:manualLayout>
              </c:layout>
              <c:spPr>
                <a:noFill/>
                <a:ln>
                  <a:noFill/>
                </a:ln>
                <a:effectLst/>
              </c:spPr>
              <c:txPr>
                <a:bodyPr vertOverflow="clip" horzOverflow="clip" wrap="square" lIns="38100" tIns="19050" rIns="38100" bIns="19050" anchor="ctr" anchorCtr="0">
                  <a:spAutoFit/>
                </a:bodyPr>
                <a:lstStyle/>
                <a:p>
                  <a:pPr algn="l">
                    <a:defRPr sz="900">
                      <a:latin typeface="Arial" panose="020B0604020202020204" pitchFamily="34" charset="0"/>
                      <a:ea typeface="Open Sans Light" panose="020B0306030504020204" pitchFamily="34" charset="0"/>
                      <a:cs typeface="Arial" panose="020B0604020202020204" pitchFamily="34" charset="0"/>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E1D2-4403-959B-F71D1F060ABE}"/>
                </c:ext>
              </c:extLst>
            </c:dLbl>
            <c:dLbl>
              <c:idx val="1"/>
              <c:layout>
                <c:manualLayout>
                  <c:x val="1.5129283485714557E-2"/>
                  <c:y val="-4.8005172389448875E-2"/>
                </c:manualLayout>
              </c:layout>
              <c:spPr>
                <a:noFill/>
                <a:ln>
                  <a:noFill/>
                </a:ln>
                <a:effectLst/>
              </c:spPr>
              <c:txPr>
                <a:bodyPr vertOverflow="clip" horzOverflow="clip" wrap="none" lIns="38100" tIns="19050" rIns="38100" bIns="19050" anchor="ctr" anchorCtr="0">
                  <a:spAutoFit/>
                </a:bodyPr>
                <a:lstStyle/>
                <a:p>
                  <a:pPr algn="l">
                    <a:defRPr sz="900">
                      <a:latin typeface="Arial" panose="020B0604020202020204" pitchFamily="34" charset="0"/>
                      <a:ea typeface="Open Sans Light" panose="020B0306030504020204" pitchFamily="34" charset="0"/>
                      <a:cs typeface="Arial" panose="020B0604020202020204" pitchFamily="34" charset="0"/>
                    </a:defRPr>
                  </a:pPr>
                  <a:endParaRPr lang="en-US"/>
                </a:p>
              </c:txP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1-E1D2-4403-959B-F71D1F060ABE}"/>
                </c:ext>
              </c:extLst>
            </c:dLbl>
            <c:dLbl>
              <c:idx val="2"/>
              <c:layout>
                <c:manualLayout>
                  <c:x val="1.3026819748704328E-2"/>
                  <c:y val="-1.5037589533600872E-2"/>
                </c:manualLayout>
              </c:layout>
              <c:spPr>
                <a:noFill/>
                <a:ln>
                  <a:noFill/>
                </a:ln>
                <a:effectLst/>
              </c:spPr>
              <c:txPr>
                <a:bodyPr vertOverflow="clip" horzOverflow="clip" wrap="square" lIns="38100" tIns="19050" rIns="38100" bIns="19050" anchor="ctr" anchorCtr="0">
                  <a:spAutoFit/>
                </a:bodyPr>
                <a:lstStyle/>
                <a:p>
                  <a:pPr algn="l">
                    <a:defRPr sz="900">
                      <a:latin typeface="Arial" panose="020B0604020202020204" pitchFamily="34" charset="0"/>
                      <a:ea typeface="Open Sans Light" panose="020B0306030504020204" pitchFamily="34" charset="0"/>
                      <a:cs typeface="Arial" panose="020B0604020202020204" pitchFamily="34" charset="0"/>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E1D2-4403-959B-F71D1F060ABE}"/>
                </c:ext>
              </c:extLst>
            </c:dLbl>
            <c:dLbl>
              <c:idx val="3"/>
              <c:layout>
                <c:manualLayout>
                  <c:x val="1.1579395332181518E-2"/>
                  <c:y val="-2.631578168380152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E1D2-4403-959B-F71D1F060ABE}"/>
                </c:ext>
              </c:extLst>
            </c:dLbl>
            <c:dLbl>
              <c:idx val="4"/>
              <c:layout>
                <c:manualLayout>
                  <c:x val="1.158161418747738E-2"/>
                  <c:y val="-2.674156309700396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E1D2-4403-959B-F71D1F060ABE}"/>
                </c:ext>
              </c:extLst>
            </c:dLbl>
            <c:spPr>
              <a:noFill/>
              <a:ln>
                <a:noFill/>
              </a:ln>
              <a:effectLst/>
            </c:spPr>
            <c:txPr>
              <a:bodyPr wrap="square" lIns="38100" tIns="19050" rIns="38100" bIns="19050" anchor="ctr" anchorCtr="0">
                <a:spAutoFit/>
              </a:bodyPr>
              <a:lstStyle/>
              <a:p>
                <a:pPr algn="l">
                  <a:defRPr sz="900">
                    <a:latin typeface="Arial" panose="020B0604020202020204" pitchFamily="34" charset="0"/>
                    <a:ea typeface="Open Sans Light" panose="020B0306030504020204" pitchFamily="34" charset="0"/>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SUMEXPEN!$P$369:$R$369</c:f>
              <c:strCache>
                <c:ptCount val="3"/>
                <c:pt idx="0">
                  <c:v>2023-2024</c:v>
                </c:pt>
                <c:pt idx="1">
                  <c:v>2024-2025</c:v>
                </c:pt>
                <c:pt idx="2">
                  <c:v>2025-2026</c:v>
                </c:pt>
              </c:strCache>
            </c:strRef>
          </c:cat>
          <c:val>
            <c:numRef>
              <c:f>SUMEXPEN!$P$370:$R$370</c:f>
              <c:numCache>
                <c:formatCode>"$"#,##0</c:formatCode>
                <c:ptCount val="3"/>
                <c:pt idx="0">
                  <c:v>938685</c:v>
                </c:pt>
                <c:pt idx="1">
                  <c:v>1968697</c:v>
                </c:pt>
                <c:pt idx="2">
                  <c:v>1412804</c:v>
                </c:pt>
              </c:numCache>
            </c:numRef>
          </c:val>
          <c:shape val="pyramid"/>
          <c:extLst>
            <c:ext xmlns:c16="http://schemas.microsoft.com/office/drawing/2014/chart" uri="{C3380CC4-5D6E-409C-BE32-E72D297353CC}">
              <c16:uniqueId val="{00000009-E1D2-4403-959B-F71D1F060ABE}"/>
            </c:ext>
          </c:extLst>
        </c:ser>
        <c:dLbls>
          <c:showLegendKey val="0"/>
          <c:showVal val="1"/>
          <c:showCatName val="0"/>
          <c:showSerName val="0"/>
          <c:showPercent val="0"/>
          <c:showBubbleSize val="0"/>
        </c:dLbls>
        <c:gapWidth val="150"/>
        <c:shape val="box"/>
        <c:axId val="128185088"/>
        <c:axId val="128186624"/>
        <c:axId val="0"/>
      </c:bar3DChart>
      <c:catAx>
        <c:axId val="128185088"/>
        <c:scaling>
          <c:orientation val="minMax"/>
        </c:scaling>
        <c:delete val="0"/>
        <c:axPos val="b"/>
        <c:numFmt formatCode="General" sourceLinked="1"/>
        <c:majorTickMark val="none"/>
        <c:minorTickMark val="none"/>
        <c:tickLblPos val="nextTo"/>
        <c:spPr>
          <a:noFill/>
        </c:spPr>
        <c:txPr>
          <a:bodyPr rot="0" anchor="t" anchorCtr="0"/>
          <a:lstStyle/>
          <a:p>
            <a:pPr>
              <a:defRPr sz="900" b="0" baseline="0">
                <a:solidFill>
                  <a:sysClr val="windowText" lastClr="000000"/>
                </a:solidFill>
                <a:latin typeface="Arial" panose="020B0604020202020204" pitchFamily="34" charset="0"/>
                <a:ea typeface="Open Sans" panose="020B0606030504020204" pitchFamily="34" charset="0"/>
                <a:cs typeface="Arial" panose="020B0604020202020204" pitchFamily="34" charset="0"/>
              </a:defRPr>
            </a:pPr>
            <a:endParaRPr lang="en-US"/>
          </a:p>
        </c:txPr>
        <c:crossAx val="128186624"/>
        <c:crosses val="autoZero"/>
        <c:auto val="1"/>
        <c:lblAlgn val="ctr"/>
        <c:lblOffset val="100"/>
        <c:noMultiLvlLbl val="0"/>
      </c:catAx>
      <c:valAx>
        <c:axId val="128186624"/>
        <c:scaling>
          <c:orientation val="minMax"/>
        </c:scaling>
        <c:delete val="0"/>
        <c:axPos val="l"/>
        <c:majorGridlines>
          <c:spPr>
            <a:ln>
              <a:solidFill>
                <a:srgbClr val="53565A"/>
              </a:solidFill>
            </a:ln>
          </c:spPr>
        </c:majorGridlines>
        <c:numFmt formatCode="&quot;$&quot;#,##0" sourceLinked="1"/>
        <c:majorTickMark val="none"/>
        <c:minorTickMark val="none"/>
        <c:tickLblPos val="nextTo"/>
        <c:spPr>
          <a:ln>
            <a:solidFill>
              <a:srgbClr val="53565A"/>
            </a:solidFill>
          </a:ln>
        </c:spPr>
        <c:txPr>
          <a:bodyPr/>
          <a:lstStyle/>
          <a:p>
            <a:pPr>
              <a:defRPr sz="900" baseline="0">
                <a:latin typeface="Arial" panose="020B0604020202020204" pitchFamily="34" charset="0"/>
                <a:ea typeface="Open Sans" panose="020B0606030504020204" pitchFamily="34" charset="0"/>
                <a:cs typeface="Arial" panose="020B0604020202020204" pitchFamily="34" charset="0"/>
              </a:defRPr>
            </a:pPr>
            <a:endParaRPr lang="en-US"/>
          </a:p>
        </c:txPr>
        <c:crossAx val="128185088"/>
        <c:crosses val="autoZero"/>
        <c:crossBetween val="between"/>
      </c:valAx>
      <c:spPr>
        <a:noFill/>
        <a:ln>
          <a:noFill/>
        </a:ln>
      </c:spPr>
    </c:plotArea>
    <c:plotVisOnly val="1"/>
    <c:dispBlanksAs val="gap"/>
    <c:showDLblsOverMax val="0"/>
  </c:chart>
  <c:spPr>
    <a:noFill/>
    <a:ln>
      <a:noFill/>
    </a:ln>
  </c:spPr>
  <c:printSettings>
    <c:headerFooter/>
    <c:pageMargins b="0.75" l="0.7" r="0.7" t="0.75" header="0.3" footer="0.3"/>
    <c:pageSetup orientation="portrait"/>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34"/>
    </mc:Choice>
    <mc:Fallback>
      <c:style val="34"/>
    </mc:Fallback>
  </mc:AlternateContent>
  <c:clrMapOvr bg1="lt1" tx1="dk1" bg2="lt2" tx2="dk2" accent1="accent1" accent2="accent2" accent3="accent3" accent4="accent4" accent5="accent5" accent6="accent6" hlink="hlink" folHlink="folHlink"/>
  <c:chart>
    <c:title>
      <c:tx>
        <c:rich>
          <a:bodyPr/>
          <a:lstStyle/>
          <a:p>
            <a:pPr algn="ctr" rtl="0">
              <a:defRPr lang="en-US" sz="1400" b="0" i="0" u="none" strike="noStrike" kern="1200" baseline="0">
                <a:solidFill>
                  <a:srgbClr val="005587"/>
                </a:solidFill>
                <a:latin typeface="Arial" panose="020B0604020202020204" pitchFamily="34" charset="0"/>
                <a:ea typeface="Open Sans Semibold" panose="020B0706030804020204" pitchFamily="34" charset="0"/>
                <a:cs typeface="Arial" panose="020B0604020202020204" pitchFamily="34" charset="0"/>
              </a:defRPr>
            </a:pPr>
            <a:r>
              <a:rPr lang="en-US" sz="1400" b="0" i="0" u="none" strike="noStrike" kern="1200" baseline="0">
                <a:solidFill>
                  <a:srgbClr val="005587"/>
                </a:solidFill>
                <a:latin typeface="Arial" panose="020B0604020202020204" pitchFamily="34" charset="0"/>
                <a:ea typeface="Open Sans Semibold" panose="020B0706030804020204" pitchFamily="34" charset="0"/>
                <a:cs typeface="Arial" panose="020B0604020202020204" pitchFamily="34" charset="0"/>
              </a:rPr>
              <a:t>FTE Enrollment for Computing State Foundation Aid</a:t>
            </a:r>
          </a:p>
          <a:p>
            <a:pPr algn="ctr" rtl="0">
              <a:defRPr lang="en-US" sz="1400" b="0" i="0" u="none" strike="noStrike" kern="1200" baseline="0">
                <a:solidFill>
                  <a:srgbClr val="005587"/>
                </a:solidFill>
                <a:latin typeface="Arial" panose="020B0604020202020204" pitchFamily="34" charset="0"/>
                <a:ea typeface="Open Sans Semibold" panose="020B0706030804020204" pitchFamily="34" charset="0"/>
                <a:cs typeface="Arial" panose="020B0604020202020204" pitchFamily="34" charset="0"/>
              </a:defRPr>
            </a:pPr>
            <a:r>
              <a:rPr lang="en-US" sz="1100" b="0" i="0" u="none" strike="noStrike" kern="1200" baseline="0">
                <a:solidFill>
                  <a:srgbClr val="005587"/>
                </a:solidFill>
                <a:latin typeface="Arial" panose="020B0604020202020204" pitchFamily="34" charset="0"/>
                <a:ea typeface="Open Sans Semibold" panose="020B0706030804020204" pitchFamily="34" charset="0"/>
                <a:cs typeface="Arial" panose="020B0604020202020204" pitchFamily="34" charset="0"/>
              </a:rPr>
              <a:t>(excludes Virtual)</a:t>
            </a:r>
          </a:p>
        </c:rich>
      </c:tx>
      <c:layout>
        <c:manualLayout>
          <c:xMode val="edge"/>
          <c:yMode val="edge"/>
          <c:x val="0.2630039464104858"/>
          <c:y val="1.9013883052436623E-3"/>
        </c:manualLayout>
      </c:layout>
      <c:overlay val="0"/>
    </c:title>
    <c:autoTitleDeleted val="0"/>
    <c:view3D>
      <c:rotX val="15"/>
      <c:rotY val="20"/>
      <c:depthPercent val="100"/>
      <c:rAngAx val="1"/>
    </c:view3D>
    <c:floor>
      <c:thickness val="0"/>
      <c:spPr>
        <a:gradFill flip="none" rotWithShape="1">
          <a:gsLst>
            <a:gs pos="0">
              <a:srgbClr val="12284C">
                <a:lumMod val="5000"/>
                <a:lumOff val="95000"/>
              </a:srgbClr>
            </a:gs>
            <a:gs pos="74000">
              <a:srgbClr val="12284C">
                <a:lumMod val="45000"/>
                <a:lumOff val="55000"/>
              </a:srgbClr>
            </a:gs>
            <a:gs pos="83000">
              <a:srgbClr val="12284C">
                <a:lumMod val="45000"/>
                <a:lumOff val="55000"/>
              </a:srgbClr>
            </a:gs>
            <a:gs pos="100000">
              <a:srgbClr val="12284C">
                <a:lumMod val="30000"/>
                <a:lumOff val="70000"/>
              </a:srgbClr>
            </a:gs>
          </a:gsLst>
          <a:path path="circle">
            <a:fillToRect l="100000" t="100000"/>
          </a:path>
          <a:tileRect r="-100000" b="-100000"/>
        </a:gradFill>
        <a:ln>
          <a:solidFill>
            <a:srgbClr val="12284C"/>
          </a:solidFill>
        </a:ln>
      </c:spPr>
    </c:floor>
    <c:sideWall>
      <c:thickness val="0"/>
      <c:spPr>
        <a:gradFill flip="none" rotWithShape="1">
          <a:gsLst>
            <a:gs pos="0">
              <a:srgbClr val="12284C">
                <a:lumMod val="5000"/>
                <a:lumOff val="95000"/>
              </a:srgbClr>
            </a:gs>
            <a:gs pos="74000">
              <a:srgbClr val="12284C">
                <a:lumMod val="45000"/>
                <a:lumOff val="55000"/>
              </a:srgbClr>
            </a:gs>
            <a:gs pos="83000">
              <a:srgbClr val="12284C">
                <a:lumMod val="45000"/>
                <a:lumOff val="55000"/>
              </a:srgbClr>
            </a:gs>
            <a:gs pos="100000">
              <a:srgbClr val="12284C">
                <a:lumMod val="30000"/>
                <a:lumOff val="70000"/>
              </a:srgbClr>
            </a:gs>
          </a:gsLst>
          <a:path path="circle">
            <a:fillToRect l="100000" t="100000"/>
          </a:path>
          <a:tileRect r="-100000" b="-100000"/>
        </a:gradFill>
        <a:ln>
          <a:solidFill>
            <a:srgbClr val="12284C"/>
          </a:solidFill>
        </a:ln>
      </c:spPr>
    </c:sideWall>
    <c:backWall>
      <c:thickness val="0"/>
      <c:spPr>
        <a:gradFill flip="none" rotWithShape="1">
          <a:gsLst>
            <a:gs pos="0">
              <a:srgbClr val="12284C">
                <a:lumMod val="5000"/>
                <a:lumOff val="95000"/>
              </a:srgbClr>
            </a:gs>
            <a:gs pos="74000">
              <a:srgbClr val="12284C">
                <a:lumMod val="45000"/>
                <a:lumOff val="55000"/>
              </a:srgbClr>
            </a:gs>
            <a:gs pos="83000">
              <a:srgbClr val="12284C">
                <a:lumMod val="45000"/>
                <a:lumOff val="55000"/>
              </a:srgbClr>
            </a:gs>
            <a:gs pos="100000">
              <a:srgbClr val="12284C">
                <a:lumMod val="30000"/>
                <a:lumOff val="70000"/>
              </a:srgbClr>
            </a:gs>
          </a:gsLst>
          <a:path path="circle">
            <a:fillToRect l="100000" t="100000"/>
          </a:path>
          <a:tileRect r="-100000" b="-100000"/>
        </a:gradFill>
        <a:ln>
          <a:solidFill>
            <a:srgbClr val="12284C"/>
          </a:solidFill>
        </a:ln>
      </c:spPr>
    </c:backWall>
    <c:plotArea>
      <c:layout>
        <c:manualLayout>
          <c:layoutTarget val="inner"/>
          <c:xMode val="edge"/>
          <c:yMode val="edge"/>
          <c:x val="3.0575644109563874E-2"/>
          <c:y val="0.16386807517302321"/>
          <c:w val="0.96942435589043607"/>
          <c:h val="0.72190394631117549"/>
        </c:manualLayout>
      </c:layout>
      <c:bar3DChart>
        <c:barDir val="col"/>
        <c:grouping val="clustered"/>
        <c:varyColors val="0"/>
        <c:ser>
          <c:idx val="0"/>
          <c:order val="0"/>
          <c:spPr>
            <a:solidFill>
              <a:srgbClr val="FFA400"/>
            </a:solidFill>
            <a:ln>
              <a:solidFill>
                <a:srgbClr val="D28700"/>
              </a:solidFill>
            </a:ln>
          </c:spPr>
          <c:invertIfNegative val="0"/>
          <c:dPt>
            <c:idx val="1"/>
            <c:invertIfNegative val="0"/>
            <c:bubble3D val="0"/>
            <c:spPr>
              <a:solidFill>
                <a:srgbClr val="12284C"/>
              </a:solidFill>
              <a:ln>
                <a:solidFill>
                  <a:srgbClr val="005587"/>
                </a:solidFill>
              </a:ln>
            </c:spPr>
            <c:extLst>
              <c:ext xmlns:c16="http://schemas.microsoft.com/office/drawing/2014/chart" uri="{C3380CC4-5D6E-409C-BE32-E72D297353CC}">
                <c16:uniqueId val="{00000001-B9BE-4732-A353-7BD12955322C}"/>
              </c:ext>
            </c:extLst>
          </c:dPt>
          <c:dPt>
            <c:idx val="2"/>
            <c:invertIfNegative val="0"/>
            <c:bubble3D val="0"/>
            <c:spPr>
              <a:solidFill>
                <a:srgbClr val="00B796"/>
              </a:solidFill>
              <a:ln>
                <a:solidFill>
                  <a:srgbClr val="008269"/>
                </a:solidFill>
              </a:ln>
            </c:spPr>
            <c:extLst>
              <c:ext xmlns:c16="http://schemas.microsoft.com/office/drawing/2014/chart" uri="{C3380CC4-5D6E-409C-BE32-E72D297353CC}">
                <c16:uniqueId val="{00000003-B9BE-4732-A353-7BD12955322C}"/>
              </c:ext>
            </c:extLst>
          </c:dPt>
          <c:dPt>
            <c:idx val="3"/>
            <c:invertIfNegative val="0"/>
            <c:bubble3D val="0"/>
            <c:spPr>
              <a:solidFill>
                <a:srgbClr val="D50032"/>
              </a:solidFill>
              <a:ln>
                <a:solidFill>
                  <a:srgbClr val="B7312C"/>
                </a:solidFill>
              </a:ln>
            </c:spPr>
            <c:extLst>
              <c:ext xmlns:c16="http://schemas.microsoft.com/office/drawing/2014/chart" uri="{C3380CC4-5D6E-409C-BE32-E72D297353CC}">
                <c16:uniqueId val="{00000005-B9BE-4732-A353-7BD12955322C}"/>
              </c:ext>
            </c:extLst>
          </c:dPt>
          <c:dPt>
            <c:idx val="4"/>
            <c:invertIfNegative val="0"/>
            <c:bubble3D val="0"/>
            <c:spPr>
              <a:solidFill>
                <a:srgbClr val="53565A"/>
              </a:solidFill>
              <a:ln>
                <a:solidFill>
                  <a:srgbClr val="C2C4C6"/>
                </a:solidFill>
              </a:ln>
            </c:spPr>
            <c:extLst>
              <c:ext xmlns:c16="http://schemas.microsoft.com/office/drawing/2014/chart" uri="{C3380CC4-5D6E-409C-BE32-E72D297353CC}">
                <c16:uniqueId val="{00000007-B9BE-4732-A353-7BD12955322C}"/>
              </c:ext>
            </c:extLst>
          </c:dPt>
          <c:dLbls>
            <c:dLbl>
              <c:idx val="0"/>
              <c:layout>
                <c:manualLayout>
                  <c:x val="1.0132073464371864E-2"/>
                  <c:y val="-3.8826413992771473E-2"/>
                </c:manualLayout>
              </c:layout>
              <c:spPr>
                <a:noFill/>
                <a:ln>
                  <a:noFill/>
                </a:ln>
                <a:effectLst/>
              </c:spPr>
              <c:txPr>
                <a:bodyPr vertOverflow="clip" horzOverflow="clip" wrap="square" lIns="38100" tIns="19050" rIns="38100" bIns="19050" anchor="ctr" anchorCtr="0">
                  <a:spAutoFit/>
                </a:bodyPr>
                <a:lstStyle/>
                <a:p>
                  <a:pPr algn="l">
                    <a:defRPr sz="900">
                      <a:latin typeface="Arial" panose="020B0604020202020204" pitchFamily="34" charset="0"/>
                      <a:ea typeface="Open Sans Light" panose="020B0306030504020204" pitchFamily="34" charset="0"/>
                      <a:cs typeface="Arial" panose="020B0604020202020204" pitchFamily="34" charset="0"/>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B9BE-4732-A353-7BD12955322C}"/>
                </c:ext>
              </c:extLst>
            </c:dLbl>
            <c:dLbl>
              <c:idx val="1"/>
              <c:layout>
                <c:manualLayout>
                  <c:x val="1.5129283485714557E-2"/>
                  <c:y val="-4.8005172389448875E-2"/>
                </c:manualLayout>
              </c:layout>
              <c:spPr>
                <a:noFill/>
                <a:ln>
                  <a:noFill/>
                </a:ln>
                <a:effectLst/>
              </c:spPr>
              <c:txPr>
                <a:bodyPr vertOverflow="clip" horzOverflow="clip" wrap="none" lIns="38100" tIns="19050" rIns="38100" bIns="19050" anchor="ctr" anchorCtr="0">
                  <a:spAutoFit/>
                </a:bodyPr>
                <a:lstStyle/>
                <a:p>
                  <a:pPr algn="l">
                    <a:defRPr sz="900">
                      <a:latin typeface="Arial" panose="020B0604020202020204" pitchFamily="34" charset="0"/>
                      <a:ea typeface="Open Sans Light" panose="020B0306030504020204" pitchFamily="34" charset="0"/>
                      <a:cs typeface="Arial" panose="020B0604020202020204" pitchFamily="34" charset="0"/>
                    </a:defRPr>
                  </a:pPr>
                  <a:endParaRPr lang="en-US"/>
                </a:p>
              </c:txP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1-B9BE-4732-A353-7BD12955322C}"/>
                </c:ext>
              </c:extLst>
            </c:dLbl>
            <c:dLbl>
              <c:idx val="2"/>
              <c:layout>
                <c:manualLayout>
                  <c:x val="1.3026819748704328E-2"/>
                  <c:y val="-1.5037589533600872E-2"/>
                </c:manualLayout>
              </c:layout>
              <c:spPr>
                <a:noFill/>
                <a:ln>
                  <a:noFill/>
                </a:ln>
                <a:effectLst/>
              </c:spPr>
              <c:txPr>
                <a:bodyPr vertOverflow="clip" horzOverflow="clip" wrap="square" lIns="38100" tIns="19050" rIns="38100" bIns="19050" anchor="ctr" anchorCtr="0">
                  <a:spAutoFit/>
                </a:bodyPr>
                <a:lstStyle/>
                <a:p>
                  <a:pPr algn="l">
                    <a:defRPr sz="900">
                      <a:latin typeface="Arial" panose="020B0604020202020204" pitchFamily="34" charset="0"/>
                      <a:ea typeface="Open Sans Light" panose="020B0306030504020204" pitchFamily="34" charset="0"/>
                      <a:cs typeface="Arial" panose="020B0604020202020204" pitchFamily="34" charset="0"/>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B9BE-4732-A353-7BD12955322C}"/>
                </c:ext>
              </c:extLst>
            </c:dLbl>
            <c:dLbl>
              <c:idx val="3"/>
              <c:layout>
                <c:manualLayout>
                  <c:x val="1.1579395332181518E-2"/>
                  <c:y val="-2.631578168380152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B9BE-4732-A353-7BD12955322C}"/>
                </c:ext>
              </c:extLst>
            </c:dLbl>
            <c:dLbl>
              <c:idx val="4"/>
              <c:layout>
                <c:manualLayout>
                  <c:x val="1.158161418747738E-2"/>
                  <c:y val="-2.674156309700396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B9BE-4732-A353-7BD12955322C}"/>
                </c:ext>
              </c:extLst>
            </c:dLbl>
            <c:spPr>
              <a:noFill/>
              <a:ln>
                <a:noFill/>
              </a:ln>
              <a:effectLst/>
            </c:spPr>
            <c:txPr>
              <a:bodyPr wrap="square" lIns="38100" tIns="19050" rIns="38100" bIns="19050" anchor="ctr" anchorCtr="0">
                <a:spAutoFit/>
              </a:bodyPr>
              <a:lstStyle/>
              <a:p>
                <a:pPr algn="l">
                  <a:defRPr sz="900">
                    <a:latin typeface="Arial" panose="020B0604020202020204" pitchFamily="34" charset="0"/>
                    <a:ea typeface="Open Sans Light" panose="020B0306030504020204" pitchFamily="34" charset="0"/>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SUMEXPEN!$P$1329:$T$1329</c:f>
              <c:strCache>
                <c:ptCount val="5"/>
                <c:pt idx="0">
                  <c:v>2021-2022</c:v>
                </c:pt>
                <c:pt idx="1">
                  <c:v>2022-2023</c:v>
                </c:pt>
                <c:pt idx="2">
                  <c:v>2023-2024</c:v>
                </c:pt>
                <c:pt idx="3">
                  <c:v>2024-2025</c:v>
                </c:pt>
                <c:pt idx="4">
                  <c:v>2025-2026</c:v>
                </c:pt>
              </c:strCache>
            </c:strRef>
          </c:cat>
          <c:val>
            <c:numRef>
              <c:f>SUMEXPEN!$P$1330:$T$1330</c:f>
              <c:numCache>
                <c:formatCode>#,##0.0</c:formatCode>
                <c:ptCount val="5"/>
                <c:pt idx="0">
                  <c:v>99</c:v>
                </c:pt>
                <c:pt idx="1">
                  <c:v>67.5</c:v>
                </c:pt>
                <c:pt idx="2">
                  <c:v>70.7</c:v>
                </c:pt>
                <c:pt idx="3">
                  <c:v>82.5</c:v>
                </c:pt>
                <c:pt idx="4">
                  <c:v>70</c:v>
                </c:pt>
              </c:numCache>
            </c:numRef>
          </c:val>
          <c:shape val="pyramid"/>
          <c:extLst>
            <c:ext xmlns:c16="http://schemas.microsoft.com/office/drawing/2014/chart" uri="{C3380CC4-5D6E-409C-BE32-E72D297353CC}">
              <c16:uniqueId val="{00000009-B9BE-4732-A353-7BD12955322C}"/>
            </c:ext>
          </c:extLst>
        </c:ser>
        <c:dLbls>
          <c:showLegendKey val="0"/>
          <c:showVal val="1"/>
          <c:showCatName val="0"/>
          <c:showSerName val="0"/>
          <c:showPercent val="0"/>
          <c:showBubbleSize val="0"/>
        </c:dLbls>
        <c:gapWidth val="150"/>
        <c:shape val="box"/>
        <c:axId val="128185088"/>
        <c:axId val="128186624"/>
        <c:axId val="0"/>
      </c:bar3DChart>
      <c:catAx>
        <c:axId val="128185088"/>
        <c:scaling>
          <c:orientation val="minMax"/>
        </c:scaling>
        <c:delete val="0"/>
        <c:axPos val="b"/>
        <c:numFmt formatCode="General" sourceLinked="1"/>
        <c:majorTickMark val="none"/>
        <c:minorTickMark val="none"/>
        <c:tickLblPos val="nextTo"/>
        <c:spPr>
          <a:noFill/>
        </c:spPr>
        <c:txPr>
          <a:bodyPr rot="0" anchor="t" anchorCtr="0"/>
          <a:lstStyle/>
          <a:p>
            <a:pPr>
              <a:defRPr sz="900" b="0" baseline="0">
                <a:solidFill>
                  <a:sysClr val="windowText" lastClr="000000"/>
                </a:solidFill>
                <a:latin typeface="Arial" panose="020B0604020202020204" pitchFamily="34" charset="0"/>
                <a:ea typeface="Open Sans" panose="020B0606030504020204" pitchFamily="34" charset="0"/>
                <a:cs typeface="Arial" panose="020B0604020202020204" pitchFamily="34" charset="0"/>
              </a:defRPr>
            </a:pPr>
            <a:endParaRPr lang="en-US"/>
          </a:p>
        </c:txPr>
        <c:crossAx val="128186624"/>
        <c:crosses val="autoZero"/>
        <c:auto val="1"/>
        <c:lblAlgn val="ctr"/>
        <c:lblOffset val="100"/>
        <c:noMultiLvlLbl val="0"/>
      </c:catAx>
      <c:valAx>
        <c:axId val="128186624"/>
        <c:scaling>
          <c:orientation val="minMax"/>
        </c:scaling>
        <c:delete val="0"/>
        <c:axPos val="l"/>
        <c:majorGridlines>
          <c:spPr>
            <a:ln>
              <a:solidFill>
                <a:srgbClr val="53565A"/>
              </a:solidFill>
            </a:ln>
          </c:spPr>
        </c:majorGridlines>
        <c:numFmt formatCode="#,##0.0" sourceLinked="1"/>
        <c:majorTickMark val="none"/>
        <c:minorTickMark val="none"/>
        <c:tickLblPos val="nextTo"/>
        <c:spPr>
          <a:ln>
            <a:solidFill>
              <a:srgbClr val="53565A"/>
            </a:solidFill>
          </a:ln>
        </c:spPr>
        <c:txPr>
          <a:bodyPr/>
          <a:lstStyle/>
          <a:p>
            <a:pPr>
              <a:defRPr sz="900" baseline="0">
                <a:latin typeface="Arial" panose="020B0604020202020204" pitchFamily="34" charset="0"/>
                <a:ea typeface="Open Sans" panose="020B0606030504020204" pitchFamily="34" charset="0"/>
                <a:cs typeface="Arial" panose="020B0604020202020204" pitchFamily="34" charset="0"/>
              </a:defRPr>
            </a:pPr>
            <a:endParaRPr lang="en-US"/>
          </a:p>
        </c:txPr>
        <c:crossAx val="128185088"/>
        <c:crosses val="autoZero"/>
        <c:crossBetween val="between"/>
      </c:valAx>
      <c:spPr>
        <a:noFill/>
        <a:ln>
          <a:noFill/>
        </a:ln>
      </c:spPr>
    </c:plotArea>
    <c:plotVisOnly val="1"/>
    <c:dispBlanksAs val="gap"/>
    <c:showDLblsOverMax val="0"/>
  </c:chart>
  <c:spPr>
    <a:noFill/>
    <a:ln>
      <a:noFill/>
    </a:ln>
  </c:spPr>
  <c:printSettings>
    <c:headerFooter/>
    <c:pageMargins b="0.75" l="0.7" r="0.7" t="0.75" header="0.3" footer="0.3"/>
    <c:pageSetup orientation="portrait"/>
  </c:printSettings>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34"/>
    </mc:Choice>
    <mc:Fallback>
      <c:style val="34"/>
    </mc:Fallback>
  </mc:AlternateContent>
  <c:clrMapOvr bg1="lt1" tx1="dk1" bg2="lt2" tx2="dk2" accent1="accent1" accent2="accent2" accent3="accent3" accent4="accent4" accent5="accent5" accent6="accent6" hlink="hlink" folHlink="folHlink"/>
  <c:chart>
    <c:title>
      <c:tx>
        <c:rich>
          <a:bodyPr/>
          <a:lstStyle/>
          <a:p>
            <a:pPr>
              <a:defRPr sz="1400" b="0">
                <a:solidFill>
                  <a:srgbClr val="005587"/>
                </a:solidFill>
                <a:latin typeface="Arial" panose="020B0604020202020204" pitchFamily="34" charset="0"/>
                <a:ea typeface="Open Sans Semibold" panose="020B0706030804020204" pitchFamily="34" charset="0"/>
                <a:cs typeface="Arial" panose="020B0604020202020204" pitchFamily="34" charset="0"/>
              </a:defRPr>
            </a:pPr>
            <a:r>
              <a:rPr lang="en-US" sz="1400">
                <a:solidFill>
                  <a:srgbClr val="005587"/>
                </a:solidFill>
                <a:latin typeface="Arial" panose="020B0604020202020204" pitchFamily="34" charset="0"/>
                <a:ea typeface="Open Sans Semibold" panose="020B0706030804020204" pitchFamily="34" charset="0"/>
                <a:cs typeface="Arial" panose="020B0604020202020204" pitchFamily="34" charset="0"/>
              </a:rPr>
              <a:t>Low Income Students</a:t>
            </a:r>
          </a:p>
        </c:rich>
      </c:tx>
      <c:overlay val="0"/>
    </c:title>
    <c:autoTitleDeleted val="0"/>
    <c:view3D>
      <c:rotX val="15"/>
      <c:rotY val="20"/>
      <c:depthPercent val="100"/>
      <c:rAngAx val="1"/>
    </c:view3D>
    <c:floor>
      <c:thickness val="0"/>
      <c:spPr>
        <a:gradFill flip="none" rotWithShape="1">
          <a:gsLst>
            <a:gs pos="0">
              <a:srgbClr val="12284C">
                <a:lumMod val="5000"/>
                <a:lumOff val="95000"/>
              </a:srgbClr>
            </a:gs>
            <a:gs pos="74000">
              <a:srgbClr val="12284C">
                <a:lumMod val="45000"/>
                <a:lumOff val="55000"/>
              </a:srgbClr>
            </a:gs>
            <a:gs pos="83000">
              <a:srgbClr val="12284C">
                <a:lumMod val="45000"/>
                <a:lumOff val="55000"/>
              </a:srgbClr>
            </a:gs>
            <a:gs pos="100000">
              <a:srgbClr val="12284C">
                <a:lumMod val="30000"/>
                <a:lumOff val="70000"/>
              </a:srgbClr>
            </a:gs>
          </a:gsLst>
          <a:path path="circle">
            <a:fillToRect l="100000" t="100000"/>
          </a:path>
          <a:tileRect r="-100000" b="-100000"/>
        </a:gradFill>
        <a:ln>
          <a:solidFill>
            <a:srgbClr val="12284C"/>
          </a:solidFill>
        </a:ln>
      </c:spPr>
    </c:floor>
    <c:sideWall>
      <c:thickness val="0"/>
      <c:spPr>
        <a:gradFill flip="none" rotWithShape="1">
          <a:gsLst>
            <a:gs pos="0">
              <a:srgbClr val="12284C">
                <a:lumMod val="5000"/>
                <a:lumOff val="95000"/>
              </a:srgbClr>
            </a:gs>
            <a:gs pos="74000">
              <a:srgbClr val="12284C">
                <a:lumMod val="45000"/>
                <a:lumOff val="55000"/>
              </a:srgbClr>
            </a:gs>
            <a:gs pos="83000">
              <a:srgbClr val="12284C">
                <a:lumMod val="45000"/>
                <a:lumOff val="55000"/>
              </a:srgbClr>
            </a:gs>
            <a:gs pos="100000">
              <a:srgbClr val="12284C">
                <a:lumMod val="30000"/>
                <a:lumOff val="70000"/>
              </a:srgbClr>
            </a:gs>
          </a:gsLst>
          <a:path path="circle">
            <a:fillToRect l="100000" t="100000"/>
          </a:path>
          <a:tileRect r="-100000" b="-100000"/>
        </a:gradFill>
        <a:ln>
          <a:solidFill>
            <a:srgbClr val="12284C"/>
          </a:solidFill>
        </a:ln>
      </c:spPr>
    </c:sideWall>
    <c:backWall>
      <c:thickness val="0"/>
      <c:spPr>
        <a:gradFill flip="none" rotWithShape="1">
          <a:gsLst>
            <a:gs pos="0">
              <a:srgbClr val="12284C">
                <a:lumMod val="5000"/>
                <a:lumOff val="95000"/>
              </a:srgbClr>
            </a:gs>
            <a:gs pos="74000">
              <a:srgbClr val="12284C">
                <a:lumMod val="45000"/>
                <a:lumOff val="55000"/>
              </a:srgbClr>
            </a:gs>
            <a:gs pos="83000">
              <a:srgbClr val="12284C">
                <a:lumMod val="45000"/>
                <a:lumOff val="55000"/>
              </a:srgbClr>
            </a:gs>
            <a:gs pos="100000">
              <a:srgbClr val="12284C">
                <a:lumMod val="30000"/>
                <a:lumOff val="70000"/>
              </a:srgbClr>
            </a:gs>
          </a:gsLst>
          <a:path path="circle">
            <a:fillToRect l="100000" t="100000"/>
          </a:path>
          <a:tileRect r="-100000" b="-100000"/>
        </a:gradFill>
        <a:ln>
          <a:solidFill>
            <a:srgbClr val="12284C"/>
          </a:solidFill>
        </a:ln>
      </c:spPr>
    </c:backWall>
    <c:plotArea>
      <c:layout>
        <c:manualLayout>
          <c:layoutTarget val="inner"/>
          <c:xMode val="edge"/>
          <c:yMode val="edge"/>
          <c:x val="3.8917356537457745E-2"/>
          <c:y val="0.13407672863944212"/>
          <c:w val="0.96108264346254224"/>
          <c:h val="0.67603149606299218"/>
        </c:manualLayout>
      </c:layout>
      <c:bar3DChart>
        <c:barDir val="col"/>
        <c:grouping val="clustered"/>
        <c:varyColors val="0"/>
        <c:ser>
          <c:idx val="0"/>
          <c:order val="0"/>
          <c:tx>
            <c:v>Free Meals</c:v>
          </c:tx>
          <c:spPr>
            <a:solidFill>
              <a:srgbClr val="00B796"/>
            </a:solidFill>
            <a:ln>
              <a:solidFill>
                <a:srgbClr val="008269"/>
              </a:solidFill>
            </a:ln>
          </c:spPr>
          <c:invertIfNegative val="0"/>
          <c:dLbls>
            <c:dLbl>
              <c:idx val="0"/>
              <c:layout>
                <c:manualLayout>
                  <c:x val="1.2650569378504508E-2"/>
                  <c:y val="-1.803407200094683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76E-4023-AF96-6ED222A975FD}"/>
                </c:ext>
              </c:extLst>
            </c:dLbl>
            <c:dLbl>
              <c:idx val="1"/>
              <c:layout>
                <c:manualLayout>
                  <c:x val="6.7114481663465581E-3"/>
                  <c:y val="-2.729850114361245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76E-4023-AF96-6ED222A975FD}"/>
                </c:ext>
              </c:extLst>
            </c:dLbl>
            <c:dLbl>
              <c:idx val="2"/>
              <c:layout>
                <c:manualLayout>
                  <c:x val="1.4135350546896292E-2"/>
                  <c:y val="-1.838467804256566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776E-4023-AF96-6ED222A975FD}"/>
                </c:ext>
              </c:extLst>
            </c:dLbl>
            <c:dLbl>
              <c:idx val="3"/>
              <c:layout>
                <c:manualLayout>
                  <c:x val="4.4742729306486879E-3"/>
                  <c:y val="-1.166180758017492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776E-4023-AF96-6ED222A975FD}"/>
                </c:ext>
              </c:extLst>
            </c:dLbl>
            <c:dLbl>
              <c:idx val="4"/>
              <c:layout>
                <c:manualLayout>
                  <c:x val="1.7857240979632785E-2"/>
                  <c:y val="-1.838467804256563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776E-4023-AF96-6ED222A975FD}"/>
                </c:ext>
              </c:extLst>
            </c:dLbl>
            <c:spPr>
              <a:noFill/>
              <a:ln>
                <a:noFill/>
              </a:ln>
              <a:effectLst/>
            </c:spPr>
            <c:txPr>
              <a:bodyPr rot="0" vertOverflow="clip" horzOverflow="clip" vert="horz" wrap="square" lIns="38100" tIns="19050" rIns="38100" bIns="19050" anchor="ctr">
                <a:spAutoFit/>
              </a:bodyPr>
              <a:lstStyle/>
              <a:p>
                <a:pPr>
                  <a:defRPr sz="900">
                    <a:latin typeface="Arial" panose="020B0604020202020204" pitchFamily="34" charset="0"/>
                    <a:ea typeface="Open Sans Light" panose="020B0306030504020204" pitchFamily="34" charset="0"/>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SUMEXPEN!$P$1362:$T$1362</c:f>
              <c:strCache>
                <c:ptCount val="5"/>
                <c:pt idx="0">
                  <c:v>2021-2022</c:v>
                </c:pt>
                <c:pt idx="1">
                  <c:v>2022-2023</c:v>
                </c:pt>
                <c:pt idx="2">
                  <c:v>2023-2024</c:v>
                </c:pt>
                <c:pt idx="3">
                  <c:v>2024-2025</c:v>
                </c:pt>
                <c:pt idx="4">
                  <c:v>2025-2026</c:v>
                </c:pt>
              </c:strCache>
            </c:strRef>
          </c:cat>
          <c:val>
            <c:numRef>
              <c:f>SUMEXPEN!$P$1363:$T$1363</c:f>
              <c:numCache>
                <c:formatCode>#,##0</c:formatCode>
                <c:ptCount val="5"/>
                <c:pt idx="0">
                  <c:v>40</c:v>
                </c:pt>
                <c:pt idx="1">
                  <c:v>39</c:v>
                </c:pt>
                <c:pt idx="2">
                  <c:v>35</c:v>
                </c:pt>
                <c:pt idx="3">
                  <c:v>40</c:v>
                </c:pt>
                <c:pt idx="4">
                  <c:v>35</c:v>
                </c:pt>
              </c:numCache>
            </c:numRef>
          </c:val>
          <c:extLst>
            <c:ext xmlns:c16="http://schemas.microsoft.com/office/drawing/2014/chart" uri="{C3380CC4-5D6E-409C-BE32-E72D297353CC}">
              <c16:uniqueId val="{00000005-776E-4023-AF96-6ED222A975FD}"/>
            </c:ext>
          </c:extLst>
        </c:ser>
        <c:ser>
          <c:idx val="1"/>
          <c:order val="1"/>
          <c:tx>
            <c:v>Reduced Meals</c:v>
          </c:tx>
          <c:spPr>
            <a:solidFill>
              <a:srgbClr val="D50032"/>
            </a:solidFill>
            <a:ln>
              <a:solidFill>
                <a:srgbClr val="B7312C"/>
              </a:solidFill>
            </a:ln>
          </c:spPr>
          <c:invertIfNegative val="0"/>
          <c:dLbls>
            <c:dLbl>
              <c:idx val="0"/>
              <c:layout>
                <c:manualLayout>
                  <c:x val="1.0433335137673676E-2"/>
                  <c:y val="-2.157076519281250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776E-4023-AF96-6ED222A975FD}"/>
                </c:ext>
              </c:extLst>
            </c:dLbl>
            <c:dLbl>
              <c:idx val="1"/>
              <c:layout>
                <c:manualLayout>
                  <c:x val="1.1185663233626521E-2"/>
                  <c:y val="-2.122015915119369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776E-4023-AF96-6ED222A975FD}"/>
                </c:ext>
              </c:extLst>
            </c:dLbl>
            <c:dLbl>
              <c:idx val="2"/>
              <c:layout>
                <c:manualLayout>
                  <c:x val="1.564000673880209E-2"/>
                  <c:y val="-2.122015915119369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776E-4023-AF96-6ED222A975FD}"/>
                </c:ext>
              </c:extLst>
            </c:dLbl>
            <c:dLbl>
              <c:idx val="3"/>
              <c:layout>
                <c:manualLayout>
                  <c:x val="1.2670444402018415E-2"/>
                  <c:y val="-2.82935455349249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776E-4023-AF96-6ED222A975FD}"/>
                </c:ext>
              </c:extLst>
            </c:dLbl>
            <c:dLbl>
              <c:idx val="4"/>
              <c:layout>
                <c:manualLayout>
                  <c:x val="1.1185682326621925E-2"/>
                  <c:y val="-1.166180758017492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776E-4023-AF96-6ED222A975FD}"/>
                </c:ext>
              </c:extLst>
            </c:dLbl>
            <c:spPr>
              <a:noFill/>
              <a:ln>
                <a:noFill/>
              </a:ln>
              <a:effectLst/>
            </c:spPr>
            <c:txPr>
              <a:bodyPr rot="0" vertOverflow="clip" horzOverflow="clip" vert="horz" wrap="square" lIns="38100" tIns="19050" rIns="38100" bIns="19050" anchor="ctr">
                <a:spAutoFit/>
              </a:bodyPr>
              <a:lstStyle/>
              <a:p>
                <a:pPr>
                  <a:defRPr>
                    <a:latin typeface="Arial" panose="020B0604020202020204" pitchFamily="34" charset="0"/>
                    <a:ea typeface="Open Sans Light" panose="020B0306030504020204" pitchFamily="34" charset="0"/>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SUMEXPEN!$P$1362:$T$1362</c:f>
              <c:strCache>
                <c:ptCount val="5"/>
                <c:pt idx="0">
                  <c:v>2021-2022</c:v>
                </c:pt>
                <c:pt idx="1">
                  <c:v>2022-2023</c:v>
                </c:pt>
                <c:pt idx="2">
                  <c:v>2023-2024</c:v>
                </c:pt>
                <c:pt idx="3">
                  <c:v>2024-2025</c:v>
                </c:pt>
                <c:pt idx="4">
                  <c:v>2025-2026</c:v>
                </c:pt>
              </c:strCache>
            </c:strRef>
          </c:cat>
          <c:val>
            <c:numRef>
              <c:f>SUMEXPEN!$P$1364:$T$1364</c:f>
              <c:numCache>
                <c:formatCode>#,##0</c:formatCode>
                <c:ptCount val="5"/>
                <c:pt idx="0">
                  <c:v>25</c:v>
                </c:pt>
                <c:pt idx="1">
                  <c:v>3</c:v>
                </c:pt>
                <c:pt idx="2">
                  <c:v>5</c:v>
                </c:pt>
                <c:pt idx="3">
                  <c:v>10</c:v>
                </c:pt>
                <c:pt idx="4">
                  <c:v>10</c:v>
                </c:pt>
              </c:numCache>
            </c:numRef>
          </c:val>
          <c:extLst>
            <c:ext xmlns:c16="http://schemas.microsoft.com/office/drawing/2014/chart" uri="{C3380CC4-5D6E-409C-BE32-E72D297353CC}">
              <c16:uniqueId val="{0000000B-776E-4023-AF96-6ED222A975FD}"/>
            </c:ext>
          </c:extLst>
        </c:ser>
        <c:dLbls>
          <c:showLegendKey val="0"/>
          <c:showVal val="1"/>
          <c:showCatName val="0"/>
          <c:showSerName val="0"/>
          <c:showPercent val="0"/>
          <c:showBubbleSize val="0"/>
        </c:dLbls>
        <c:gapWidth val="150"/>
        <c:shape val="box"/>
        <c:axId val="128185088"/>
        <c:axId val="128186624"/>
        <c:axId val="0"/>
      </c:bar3DChart>
      <c:catAx>
        <c:axId val="128185088"/>
        <c:scaling>
          <c:orientation val="minMax"/>
        </c:scaling>
        <c:delete val="0"/>
        <c:axPos val="b"/>
        <c:numFmt formatCode="General" sourceLinked="1"/>
        <c:majorTickMark val="none"/>
        <c:minorTickMark val="none"/>
        <c:tickLblPos val="nextTo"/>
        <c:spPr>
          <a:noFill/>
        </c:spPr>
        <c:txPr>
          <a:bodyPr rot="0" anchor="t" anchorCtr="0"/>
          <a:lstStyle/>
          <a:p>
            <a:pPr>
              <a:defRPr sz="900" b="0" baseline="0">
                <a:solidFill>
                  <a:sysClr val="windowText" lastClr="000000"/>
                </a:solidFill>
                <a:latin typeface="Arial" panose="020B0604020202020204" pitchFamily="34" charset="0"/>
                <a:ea typeface="Open Sans" panose="020B0606030504020204" pitchFamily="34" charset="0"/>
                <a:cs typeface="Arial" panose="020B0604020202020204" pitchFamily="34" charset="0"/>
              </a:defRPr>
            </a:pPr>
            <a:endParaRPr lang="en-US"/>
          </a:p>
        </c:txPr>
        <c:crossAx val="128186624"/>
        <c:crosses val="autoZero"/>
        <c:auto val="1"/>
        <c:lblAlgn val="ctr"/>
        <c:lblOffset val="100"/>
        <c:noMultiLvlLbl val="0"/>
      </c:catAx>
      <c:valAx>
        <c:axId val="128186624"/>
        <c:scaling>
          <c:orientation val="minMax"/>
        </c:scaling>
        <c:delete val="0"/>
        <c:axPos val="l"/>
        <c:majorGridlines>
          <c:spPr>
            <a:ln>
              <a:solidFill>
                <a:srgbClr val="53565A"/>
              </a:solidFill>
            </a:ln>
          </c:spPr>
        </c:majorGridlines>
        <c:numFmt formatCode="#,##0" sourceLinked="1"/>
        <c:majorTickMark val="none"/>
        <c:minorTickMark val="none"/>
        <c:tickLblPos val="nextTo"/>
        <c:spPr>
          <a:ln>
            <a:solidFill>
              <a:srgbClr val="53565A"/>
            </a:solidFill>
          </a:ln>
        </c:spPr>
        <c:txPr>
          <a:bodyPr/>
          <a:lstStyle/>
          <a:p>
            <a:pPr>
              <a:defRPr sz="900" baseline="0">
                <a:latin typeface="Arial" panose="020B0604020202020204" pitchFamily="34" charset="0"/>
                <a:ea typeface="Open Sans" panose="020B0606030504020204" pitchFamily="34" charset="0"/>
                <a:cs typeface="Arial" panose="020B0604020202020204" pitchFamily="34" charset="0"/>
              </a:defRPr>
            </a:pPr>
            <a:endParaRPr lang="en-US"/>
          </a:p>
        </c:txPr>
        <c:crossAx val="128185088"/>
        <c:crosses val="autoZero"/>
        <c:crossBetween val="between"/>
      </c:valAx>
      <c:spPr>
        <a:solidFill>
          <a:schemeClr val="bg1"/>
        </a:solidFill>
        <a:ln>
          <a:noFill/>
        </a:ln>
      </c:spPr>
    </c:plotArea>
    <c:legend>
      <c:legendPos val="b"/>
      <c:overlay val="0"/>
      <c:txPr>
        <a:bodyPr/>
        <a:lstStyle/>
        <a:p>
          <a:pPr>
            <a:defRPr sz="900" b="0">
              <a:solidFill>
                <a:sysClr val="windowText" lastClr="000000"/>
              </a:solidFill>
              <a:latin typeface="Arial" panose="020B0604020202020204" pitchFamily="34" charset="0"/>
              <a:ea typeface="Open Sans" panose="020B0606030504020204" pitchFamily="34" charset="0"/>
              <a:cs typeface="Arial" panose="020B0604020202020204" pitchFamily="34" charset="0"/>
            </a:defRPr>
          </a:pPr>
          <a:endParaRPr lang="en-US"/>
        </a:p>
      </c:txPr>
    </c:legend>
    <c:plotVisOnly val="1"/>
    <c:dispBlanksAs val="gap"/>
    <c:showDLblsOverMax val="0"/>
  </c:chart>
  <c:spPr>
    <a:noFill/>
    <a:ln>
      <a:noFill/>
    </a:ln>
  </c:sp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34"/>
    </mc:Choice>
    <mc:Fallback>
      <c:style val="34"/>
    </mc:Fallback>
  </mc:AlternateContent>
  <c:clrMapOvr bg1="lt1" tx1="dk1" bg2="lt2" tx2="dk2" accent1="accent1" accent2="accent2" accent3="accent3" accent4="accent4" accent5="accent5" accent6="accent6" hlink="hlink" folHlink="folHlink"/>
  <c:chart>
    <c:title>
      <c:tx>
        <c:rich>
          <a:bodyPr/>
          <a:lstStyle/>
          <a:p>
            <a:pPr>
              <a:defRPr sz="1400" b="0">
                <a:solidFill>
                  <a:srgbClr val="53565A"/>
                </a:solidFill>
                <a:latin typeface="Open Sans Semibold" panose="020B0706030804020204" pitchFamily="34" charset="0"/>
                <a:ea typeface="Open Sans Semibold" panose="020B0706030804020204" pitchFamily="34" charset="0"/>
                <a:cs typeface="Open Sans Semibold" panose="020B0706030804020204" pitchFamily="34" charset="0"/>
              </a:defRPr>
            </a:pPr>
            <a:r>
              <a:rPr lang="en-US">
                <a:latin typeface="Arial" panose="020B0604020202020204" pitchFamily="34" charset="0"/>
                <a:cs typeface="Arial" panose="020B0604020202020204" pitchFamily="34" charset="0"/>
              </a:rPr>
              <a:t>Instructional Support Expenditures (2200)</a:t>
            </a:r>
          </a:p>
        </c:rich>
      </c:tx>
      <c:layout>
        <c:manualLayout>
          <c:xMode val="edge"/>
          <c:yMode val="edge"/>
          <c:x val="0.34079309687107945"/>
          <c:y val="4.3923768154309505E-2"/>
        </c:manualLayout>
      </c:layout>
      <c:overlay val="0"/>
    </c:title>
    <c:autoTitleDeleted val="0"/>
    <c:view3D>
      <c:rotX val="15"/>
      <c:rotY val="20"/>
      <c:depthPercent val="100"/>
      <c:rAngAx val="1"/>
    </c:view3D>
    <c:floor>
      <c:thickness val="0"/>
      <c:spPr>
        <a:gradFill flip="none" rotWithShape="1">
          <a:gsLst>
            <a:gs pos="0">
              <a:srgbClr val="12284C">
                <a:lumMod val="5000"/>
                <a:lumOff val="95000"/>
              </a:srgbClr>
            </a:gs>
            <a:gs pos="74000">
              <a:srgbClr val="12284C">
                <a:lumMod val="45000"/>
                <a:lumOff val="55000"/>
              </a:srgbClr>
            </a:gs>
            <a:gs pos="83000">
              <a:srgbClr val="12284C">
                <a:lumMod val="45000"/>
                <a:lumOff val="55000"/>
              </a:srgbClr>
            </a:gs>
            <a:gs pos="100000">
              <a:srgbClr val="12284C">
                <a:lumMod val="30000"/>
                <a:lumOff val="70000"/>
              </a:srgbClr>
            </a:gs>
          </a:gsLst>
          <a:path path="circle">
            <a:fillToRect l="100000" t="100000"/>
          </a:path>
          <a:tileRect r="-100000" b="-100000"/>
        </a:gradFill>
        <a:ln>
          <a:solidFill>
            <a:srgbClr val="12284C"/>
          </a:solidFill>
        </a:ln>
      </c:spPr>
    </c:floor>
    <c:sideWall>
      <c:thickness val="0"/>
      <c:spPr>
        <a:gradFill flip="none" rotWithShape="1">
          <a:gsLst>
            <a:gs pos="0">
              <a:srgbClr val="12284C">
                <a:lumMod val="5000"/>
                <a:lumOff val="95000"/>
              </a:srgbClr>
            </a:gs>
            <a:gs pos="74000">
              <a:srgbClr val="12284C">
                <a:lumMod val="45000"/>
                <a:lumOff val="55000"/>
              </a:srgbClr>
            </a:gs>
            <a:gs pos="83000">
              <a:srgbClr val="12284C">
                <a:lumMod val="45000"/>
                <a:lumOff val="55000"/>
              </a:srgbClr>
            </a:gs>
            <a:gs pos="100000">
              <a:srgbClr val="12284C">
                <a:lumMod val="30000"/>
                <a:lumOff val="70000"/>
              </a:srgbClr>
            </a:gs>
          </a:gsLst>
          <a:path path="circle">
            <a:fillToRect l="100000" t="100000"/>
          </a:path>
          <a:tileRect r="-100000" b="-100000"/>
        </a:gradFill>
        <a:ln>
          <a:solidFill>
            <a:srgbClr val="12284C"/>
          </a:solidFill>
        </a:ln>
      </c:spPr>
    </c:sideWall>
    <c:backWall>
      <c:thickness val="0"/>
      <c:spPr>
        <a:gradFill flip="none" rotWithShape="1">
          <a:gsLst>
            <a:gs pos="0">
              <a:srgbClr val="12284C">
                <a:lumMod val="5000"/>
                <a:lumOff val="95000"/>
              </a:srgbClr>
            </a:gs>
            <a:gs pos="74000">
              <a:srgbClr val="12284C">
                <a:lumMod val="45000"/>
                <a:lumOff val="55000"/>
              </a:srgbClr>
            </a:gs>
            <a:gs pos="83000">
              <a:srgbClr val="12284C">
                <a:lumMod val="45000"/>
                <a:lumOff val="55000"/>
              </a:srgbClr>
            </a:gs>
            <a:gs pos="100000">
              <a:srgbClr val="12284C">
                <a:lumMod val="30000"/>
                <a:lumOff val="70000"/>
              </a:srgbClr>
            </a:gs>
          </a:gsLst>
          <a:path path="circle">
            <a:fillToRect l="100000" t="100000"/>
          </a:path>
          <a:tileRect r="-100000" b="-100000"/>
        </a:gradFill>
        <a:ln>
          <a:solidFill>
            <a:srgbClr val="12284C"/>
          </a:solidFill>
        </a:ln>
      </c:spPr>
    </c:backWall>
    <c:plotArea>
      <c:layout>
        <c:manualLayout>
          <c:layoutTarget val="inner"/>
          <c:xMode val="edge"/>
          <c:yMode val="edge"/>
          <c:x val="3.0575644109563874E-2"/>
          <c:y val="0.16386807517302321"/>
          <c:w val="0.96942435589043607"/>
          <c:h val="0.72190394631117549"/>
        </c:manualLayout>
      </c:layout>
      <c:bar3DChart>
        <c:barDir val="col"/>
        <c:grouping val="clustered"/>
        <c:varyColors val="0"/>
        <c:ser>
          <c:idx val="0"/>
          <c:order val="0"/>
          <c:spPr>
            <a:solidFill>
              <a:srgbClr val="FFA400"/>
            </a:solidFill>
            <a:ln>
              <a:solidFill>
                <a:srgbClr val="D28700"/>
              </a:solidFill>
            </a:ln>
          </c:spPr>
          <c:invertIfNegative val="0"/>
          <c:dPt>
            <c:idx val="1"/>
            <c:invertIfNegative val="0"/>
            <c:bubble3D val="0"/>
            <c:spPr>
              <a:solidFill>
                <a:srgbClr val="00B796"/>
              </a:solidFill>
              <a:ln>
                <a:solidFill>
                  <a:srgbClr val="008269"/>
                </a:solidFill>
              </a:ln>
            </c:spPr>
            <c:extLst>
              <c:ext xmlns:c16="http://schemas.microsoft.com/office/drawing/2014/chart" uri="{C3380CC4-5D6E-409C-BE32-E72D297353CC}">
                <c16:uniqueId val="{00000003-EA90-4AD3-ABE4-5B34F4836766}"/>
              </c:ext>
            </c:extLst>
          </c:dPt>
          <c:dPt>
            <c:idx val="2"/>
            <c:invertIfNegative val="0"/>
            <c:bubble3D val="0"/>
            <c:spPr>
              <a:solidFill>
                <a:srgbClr val="B7312C"/>
              </a:solidFill>
              <a:ln>
                <a:solidFill>
                  <a:srgbClr val="7F241F"/>
                </a:solidFill>
              </a:ln>
            </c:spPr>
            <c:extLst>
              <c:ext xmlns:c16="http://schemas.microsoft.com/office/drawing/2014/chart" uri="{C3380CC4-5D6E-409C-BE32-E72D297353CC}">
                <c16:uniqueId val="{00000004-EA90-4AD3-ABE4-5B34F4836766}"/>
              </c:ext>
            </c:extLst>
          </c:dPt>
          <c:dPt>
            <c:idx val="3"/>
            <c:invertIfNegative val="0"/>
            <c:bubble3D val="0"/>
            <c:spPr>
              <a:solidFill>
                <a:srgbClr val="005587"/>
              </a:solidFill>
              <a:ln>
                <a:solidFill>
                  <a:srgbClr val="12284C"/>
                </a:solidFill>
              </a:ln>
            </c:spPr>
            <c:extLst>
              <c:ext xmlns:c16="http://schemas.microsoft.com/office/drawing/2014/chart" uri="{C3380CC4-5D6E-409C-BE32-E72D297353CC}">
                <c16:uniqueId val="{00000005-D4E3-40AF-8345-71890A74772B}"/>
              </c:ext>
            </c:extLst>
          </c:dPt>
          <c:dPt>
            <c:idx val="4"/>
            <c:invertIfNegative val="0"/>
            <c:bubble3D val="0"/>
            <c:spPr>
              <a:solidFill>
                <a:srgbClr val="53565A"/>
              </a:solidFill>
              <a:ln>
                <a:solidFill>
                  <a:srgbClr val="383A3C"/>
                </a:solidFill>
              </a:ln>
            </c:spPr>
            <c:extLst>
              <c:ext xmlns:c16="http://schemas.microsoft.com/office/drawing/2014/chart" uri="{C3380CC4-5D6E-409C-BE32-E72D297353CC}">
                <c16:uniqueId val="{00000006-D4E3-40AF-8345-71890A74772B}"/>
              </c:ext>
            </c:extLst>
          </c:dPt>
          <c:dLbls>
            <c:dLbl>
              <c:idx val="0"/>
              <c:layout>
                <c:manualLayout>
                  <c:x val="1.0132073464371864E-2"/>
                  <c:y val="-3.8826413992771473E-2"/>
                </c:manualLayout>
              </c:layout>
              <c:spPr>
                <a:noFill/>
                <a:ln>
                  <a:noFill/>
                </a:ln>
                <a:effectLst/>
              </c:spPr>
              <c:txPr>
                <a:bodyPr vertOverflow="clip" horzOverflow="clip" wrap="square" lIns="38100" tIns="19050" rIns="38100" bIns="19050" anchor="ctr" anchorCtr="0">
                  <a:spAutoFit/>
                </a:bodyPr>
                <a:lstStyle/>
                <a:p>
                  <a:pPr algn="l">
                    <a:defRPr sz="900">
                      <a:latin typeface="Arial" panose="020B0604020202020204" pitchFamily="34" charset="0"/>
                      <a:ea typeface="Open Sans Light" panose="020B0306030504020204" pitchFamily="34" charset="0"/>
                      <a:cs typeface="Arial" panose="020B0604020202020204" pitchFamily="34" charset="0"/>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B89A-43E1-B6B0-9C74BAE5742A}"/>
                </c:ext>
              </c:extLst>
            </c:dLbl>
            <c:dLbl>
              <c:idx val="1"/>
              <c:layout>
                <c:manualLayout>
                  <c:x val="1.5129283485714557E-2"/>
                  <c:y val="-4.8005172389448875E-2"/>
                </c:manualLayout>
              </c:layout>
              <c:spPr>
                <a:noFill/>
                <a:ln>
                  <a:noFill/>
                </a:ln>
                <a:effectLst/>
              </c:spPr>
              <c:txPr>
                <a:bodyPr vertOverflow="clip" horzOverflow="clip" wrap="none" lIns="38100" tIns="19050" rIns="38100" bIns="19050" anchor="ctr" anchorCtr="0">
                  <a:spAutoFit/>
                </a:bodyPr>
                <a:lstStyle/>
                <a:p>
                  <a:pPr algn="l">
                    <a:defRPr sz="900">
                      <a:latin typeface="Arial" panose="020B0604020202020204" pitchFamily="34" charset="0"/>
                      <a:ea typeface="Open Sans Light" panose="020B0306030504020204" pitchFamily="34" charset="0"/>
                      <a:cs typeface="Arial" panose="020B0604020202020204" pitchFamily="34" charset="0"/>
                    </a:defRPr>
                  </a:pPr>
                  <a:endParaRPr lang="en-US"/>
                </a:p>
              </c:txP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3-EA90-4AD3-ABE4-5B34F4836766}"/>
                </c:ext>
              </c:extLst>
            </c:dLbl>
            <c:dLbl>
              <c:idx val="2"/>
              <c:layout>
                <c:manualLayout>
                  <c:x val="1.3026819748704328E-2"/>
                  <c:y val="-1.5037589533600872E-2"/>
                </c:manualLayout>
              </c:layout>
              <c:spPr>
                <a:noFill/>
                <a:ln>
                  <a:noFill/>
                </a:ln>
                <a:effectLst/>
              </c:spPr>
              <c:txPr>
                <a:bodyPr vertOverflow="clip" horzOverflow="clip" wrap="square" lIns="38100" tIns="19050" rIns="38100" bIns="19050" anchor="ctr" anchorCtr="0">
                  <a:spAutoFit/>
                </a:bodyPr>
                <a:lstStyle/>
                <a:p>
                  <a:pPr algn="l">
                    <a:defRPr sz="900">
                      <a:latin typeface="Arial" panose="020B0604020202020204" pitchFamily="34" charset="0"/>
                      <a:ea typeface="Open Sans Light" panose="020B0306030504020204" pitchFamily="34" charset="0"/>
                      <a:cs typeface="Arial" panose="020B0604020202020204" pitchFamily="34" charset="0"/>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EA90-4AD3-ABE4-5B34F4836766}"/>
                </c:ext>
              </c:extLst>
            </c:dLbl>
            <c:dLbl>
              <c:idx val="3"/>
              <c:layout>
                <c:manualLayout>
                  <c:x val="1.1579395332181518E-2"/>
                  <c:y val="-2.631578168380152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D4E3-40AF-8345-71890A74772B}"/>
                </c:ext>
              </c:extLst>
            </c:dLbl>
            <c:dLbl>
              <c:idx val="4"/>
              <c:layout>
                <c:manualLayout>
                  <c:x val="1.158161418747738E-2"/>
                  <c:y val="-2.674156309700396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D4E3-40AF-8345-71890A74772B}"/>
                </c:ext>
              </c:extLst>
            </c:dLbl>
            <c:spPr>
              <a:noFill/>
              <a:ln>
                <a:noFill/>
              </a:ln>
              <a:effectLst/>
            </c:spPr>
            <c:txPr>
              <a:bodyPr wrap="square" lIns="38100" tIns="19050" rIns="38100" bIns="19050" anchor="ctr" anchorCtr="0">
                <a:spAutoFit/>
              </a:bodyPr>
              <a:lstStyle/>
              <a:p>
                <a:pPr algn="l">
                  <a:defRPr sz="900">
                    <a:latin typeface="Arial" panose="020B0604020202020204" pitchFamily="34" charset="0"/>
                    <a:ea typeface="Open Sans Light" panose="020B0306030504020204" pitchFamily="34" charset="0"/>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SUMEXPEN!$P$499:$R$499</c:f>
              <c:strCache>
                <c:ptCount val="3"/>
                <c:pt idx="0">
                  <c:v>2023-2024</c:v>
                </c:pt>
                <c:pt idx="1">
                  <c:v>2024-2025</c:v>
                </c:pt>
                <c:pt idx="2">
                  <c:v>2025-2026</c:v>
                </c:pt>
              </c:strCache>
            </c:strRef>
          </c:cat>
          <c:val>
            <c:numRef>
              <c:f>SUMEXPEN!$P$500:$R$500</c:f>
              <c:numCache>
                <c:formatCode>"$"#,##0</c:formatCode>
                <c:ptCount val="3"/>
                <c:pt idx="0">
                  <c:v>1258</c:v>
                </c:pt>
                <c:pt idx="1">
                  <c:v>240</c:v>
                </c:pt>
                <c:pt idx="2">
                  <c:v>100</c:v>
                </c:pt>
              </c:numCache>
            </c:numRef>
          </c:val>
          <c:shape val="pyramid"/>
          <c:extLst>
            <c:ext xmlns:c16="http://schemas.microsoft.com/office/drawing/2014/chart" uri="{C3380CC4-5D6E-409C-BE32-E72D297353CC}">
              <c16:uniqueId val="{00000000-03ED-42F9-B639-8C83BB0EB494}"/>
            </c:ext>
          </c:extLst>
        </c:ser>
        <c:dLbls>
          <c:showLegendKey val="0"/>
          <c:showVal val="1"/>
          <c:showCatName val="0"/>
          <c:showSerName val="0"/>
          <c:showPercent val="0"/>
          <c:showBubbleSize val="0"/>
        </c:dLbls>
        <c:gapWidth val="150"/>
        <c:shape val="box"/>
        <c:axId val="128185088"/>
        <c:axId val="128186624"/>
        <c:axId val="0"/>
      </c:bar3DChart>
      <c:catAx>
        <c:axId val="128185088"/>
        <c:scaling>
          <c:orientation val="minMax"/>
        </c:scaling>
        <c:delete val="0"/>
        <c:axPos val="b"/>
        <c:numFmt formatCode="General" sourceLinked="1"/>
        <c:majorTickMark val="none"/>
        <c:minorTickMark val="none"/>
        <c:tickLblPos val="nextTo"/>
        <c:spPr>
          <a:noFill/>
        </c:spPr>
        <c:txPr>
          <a:bodyPr rot="0" anchor="t" anchorCtr="0"/>
          <a:lstStyle/>
          <a:p>
            <a:pPr>
              <a:defRPr sz="900" b="0" baseline="0">
                <a:solidFill>
                  <a:sysClr val="windowText" lastClr="000000"/>
                </a:solidFill>
                <a:latin typeface="Arial" panose="020B0604020202020204" pitchFamily="34" charset="0"/>
                <a:ea typeface="Open Sans" panose="020B0606030504020204" pitchFamily="34" charset="0"/>
                <a:cs typeface="Arial" panose="020B0604020202020204" pitchFamily="34" charset="0"/>
              </a:defRPr>
            </a:pPr>
            <a:endParaRPr lang="en-US"/>
          </a:p>
        </c:txPr>
        <c:crossAx val="128186624"/>
        <c:crosses val="autoZero"/>
        <c:auto val="1"/>
        <c:lblAlgn val="ctr"/>
        <c:lblOffset val="100"/>
        <c:noMultiLvlLbl val="0"/>
      </c:catAx>
      <c:valAx>
        <c:axId val="128186624"/>
        <c:scaling>
          <c:orientation val="minMax"/>
        </c:scaling>
        <c:delete val="0"/>
        <c:axPos val="l"/>
        <c:majorGridlines>
          <c:spPr>
            <a:ln>
              <a:solidFill>
                <a:srgbClr val="53565A"/>
              </a:solidFill>
            </a:ln>
          </c:spPr>
        </c:majorGridlines>
        <c:numFmt formatCode="&quot;$&quot;#,##0" sourceLinked="1"/>
        <c:majorTickMark val="none"/>
        <c:minorTickMark val="none"/>
        <c:tickLblPos val="nextTo"/>
        <c:spPr>
          <a:ln>
            <a:solidFill>
              <a:srgbClr val="53565A"/>
            </a:solidFill>
          </a:ln>
        </c:spPr>
        <c:txPr>
          <a:bodyPr/>
          <a:lstStyle/>
          <a:p>
            <a:pPr>
              <a:defRPr sz="900" baseline="0">
                <a:latin typeface="Arial" panose="020B0604020202020204" pitchFamily="34" charset="0"/>
                <a:ea typeface="Open Sans" panose="020B0606030504020204" pitchFamily="34" charset="0"/>
                <a:cs typeface="Arial" panose="020B0604020202020204" pitchFamily="34" charset="0"/>
              </a:defRPr>
            </a:pPr>
            <a:endParaRPr lang="en-US"/>
          </a:p>
        </c:txPr>
        <c:crossAx val="128185088"/>
        <c:crosses val="autoZero"/>
        <c:crossBetween val="between"/>
      </c:valAx>
      <c:spPr>
        <a:noFill/>
        <a:ln>
          <a:noFill/>
        </a:ln>
      </c:spPr>
    </c:plotArea>
    <c:plotVisOnly val="1"/>
    <c:dispBlanksAs val="gap"/>
    <c:showDLblsOverMax val="0"/>
  </c:chart>
  <c:spPr>
    <a:noFill/>
    <a:ln>
      <a:solidFill>
        <a:srgbClr val="53565A"/>
      </a:solidFill>
    </a:ln>
  </c:spPr>
  <c:printSettings>
    <c:headerFooter/>
    <c:pageMargins b="0.75" l="0.7" r="0.7" t="0.75" header="0.3" footer="0.3"/>
    <c:pageSetup orientation="portrait"/>
  </c:printSettings>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34"/>
    </mc:Choice>
    <mc:Fallback>
      <c:style val="34"/>
    </mc:Fallback>
  </mc:AlternateContent>
  <c:clrMapOvr bg1="lt1" tx1="dk1" bg2="lt2" tx2="dk2" accent1="accent1" accent2="accent2" accent3="accent3" accent4="accent4" accent5="accent5" accent6="accent6" hlink="hlink" folHlink="folHlink"/>
  <c:chart>
    <c:title>
      <c:tx>
        <c:rich>
          <a:bodyPr/>
          <a:lstStyle/>
          <a:p>
            <a:pPr algn="ctr" rtl="0">
              <a:defRPr lang="en-US" sz="1400" b="0" i="0" u="none" strike="noStrike" kern="1200" baseline="0">
                <a:solidFill>
                  <a:srgbClr val="12284C"/>
                </a:solidFill>
                <a:latin typeface="Arial" panose="020B0604020202020204" pitchFamily="34" charset="0"/>
                <a:ea typeface="Open Sans Semibold" panose="020B0706030804020204" pitchFamily="34" charset="0"/>
                <a:cs typeface="Arial" panose="020B0604020202020204" pitchFamily="34" charset="0"/>
              </a:defRPr>
            </a:pPr>
            <a:r>
              <a:rPr lang="en-US" sz="1400" b="0" i="0" u="none" strike="noStrike" kern="1200" baseline="0">
                <a:solidFill>
                  <a:srgbClr val="12284C"/>
                </a:solidFill>
                <a:latin typeface="Arial" panose="020B0604020202020204" pitchFamily="34" charset="0"/>
                <a:ea typeface="Open Sans Semibold" panose="020B0706030804020204" pitchFamily="34" charset="0"/>
                <a:cs typeface="Arial" panose="020B0604020202020204" pitchFamily="34" charset="0"/>
              </a:rPr>
              <a:t>Total USD Mill Rate</a:t>
            </a:r>
          </a:p>
        </c:rich>
      </c:tx>
      <c:layout>
        <c:manualLayout>
          <c:xMode val="edge"/>
          <c:yMode val="edge"/>
          <c:x val="0.40766447182843185"/>
          <c:y val="4.3923717811919449E-2"/>
        </c:manualLayout>
      </c:layout>
      <c:overlay val="0"/>
    </c:title>
    <c:autoTitleDeleted val="0"/>
    <c:view3D>
      <c:rotX val="15"/>
      <c:rotY val="20"/>
      <c:depthPercent val="100"/>
      <c:rAngAx val="1"/>
    </c:view3D>
    <c:floor>
      <c:thickness val="0"/>
      <c:spPr>
        <a:gradFill flip="none" rotWithShape="1">
          <a:gsLst>
            <a:gs pos="0">
              <a:srgbClr val="12284C">
                <a:lumMod val="5000"/>
                <a:lumOff val="95000"/>
              </a:srgbClr>
            </a:gs>
            <a:gs pos="74000">
              <a:srgbClr val="12284C">
                <a:lumMod val="45000"/>
                <a:lumOff val="55000"/>
              </a:srgbClr>
            </a:gs>
            <a:gs pos="83000">
              <a:srgbClr val="12284C">
                <a:lumMod val="45000"/>
                <a:lumOff val="55000"/>
              </a:srgbClr>
            </a:gs>
            <a:gs pos="100000">
              <a:srgbClr val="12284C">
                <a:lumMod val="30000"/>
                <a:lumOff val="70000"/>
              </a:srgbClr>
            </a:gs>
          </a:gsLst>
          <a:path path="circle">
            <a:fillToRect l="100000" t="100000"/>
          </a:path>
          <a:tileRect r="-100000" b="-100000"/>
        </a:gradFill>
        <a:ln>
          <a:solidFill>
            <a:srgbClr val="12284C"/>
          </a:solidFill>
        </a:ln>
      </c:spPr>
    </c:floor>
    <c:sideWall>
      <c:thickness val="0"/>
      <c:spPr>
        <a:gradFill flip="none" rotWithShape="1">
          <a:gsLst>
            <a:gs pos="0">
              <a:srgbClr val="12284C">
                <a:lumMod val="5000"/>
                <a:lumOff val="95000"/>
              </a:srgbClr>
            </a:gs>
            <a:gs pos="74000">
              <a:srgbClr val="12284C">
                <a:lumMod val="45000"/>
                <a:lumOff val="55000"/>
              </a:srgbClr>
            </a:gs>
            <a:gs pos="83000">
              <a:srgbClr val="12284C">
                <a:lumMod val="45000"/>
                <a:lumOff val="55000"/>
              </a:srgbClr>
            </a:gs>
            <a:gs pos="100000">
              <a:srgbClr val="12284C">
                <a:lumMod val="30000"/>
                <a:lumOff val="70000"/>
              </a:srgbClr>
            </a:gs>
          </a:gsLst>
          <a:path path="circle">
            <a:fillToRect l="100000" t="100000"/>
          </a:path>
          <a:tileRect r="-100000" b="-100000"/>
        </a:gradFill>
        <a:ln>
          <a:solidFill>
            <a:srgbClr val="12284C"/>
          </a:solidFill>
        </a:ln>
      </c:spPr>
    </c:sideWall>
    <c:backWall>
      <c:thickness val="0"/>
      <c:spPr>
        <a:gradFill flip="none" rotWithShape="1">
          <a:gsLst>
            <a:gs pos="0">
              <a:srgbClr val="12284C">
                <a:lumMod val="5000"/>
                <a:lumOff val="95000"/>
              </a:srgbClr>
            </a:gs>
            <a:gs pos="74000">
              <a:srgbClr val="12284C">
                <a:lumMod val="45000"/>
                <a:lumOff val="55000"/>
              </a:srgbClr>
            </a:gs>
            <a:gs pos="83000">
              <a:srgbClr val="12284C">
                <a:lumMod val="45000"/>
                <a:lumOff val="55000"/>
              </a:srgbClr>
            </a:gs>
            <a:gs pos="100000">
              <a:srgbClr val="12284C">
                <a:lumMod val="30000"/>
                <a:lumOff val="70000"/>
              </a:srgbClr>
            </a:gs>
          </a:gsLst>
          <a:path path="circle">
            <a:fillToRect l="100000" t="100000"/>
          </a:path>
          <a:tileRect r="-100000" b="-100000"/>
        </a:gradFill>
        <a:ln>
          <a:solidFill>
            <a:srgbClr val="12284C"/>
          </a:solidFill>
        </a:ln>
      </c:spPr>
    </c:backWall>
    <c:plotArea>
      <c:layout>
        <c:manualLayout>
          <c:layoutTarget val="inner"/>
          <c:xMode val="edge"/>
          <c:yMode val="edge"/>
          <c:x val="3.0575644109563874E-2"/>
          <c:y val="0.16386807517302321"/>
          <c:w val="0.96942435589043607"/>
          <c:h val="0.72190394631117549"/>
        </c:manualLayout>
      </c:layout>
      <c:bar3DChart>
        <c:barDir val="col"/>
        <c:grouping val="clustered"/>
        <c:varyColors val="0"/>
        <c:ser>
          <c:idx val="0"/>
          <c:order val="0"/>
          <c:spPr>
            <a:solidFill>
              <a:srgbClr val="FFA400"/>
            </a:solidFill>
            <a:ln>
              <a:solidFill>
                <a:srgbClr val="D28700"/>
              </a:solidFill>
            </a:ln>
          </c:spPr>
          <c:invertIfNegative val="0"/>
          <c:dPt>
            <c:idx val="1"/>
            <c:invertIfNegative val="0"/>
            <c:bubble3D val="0"/>
            <c:spPr>
              <a:solidFill>
                <a:srgbClr val="00B796"/>
              </a:solidFill>
              <a:ln>
                <a:solidFill>
                  <a:srgbClr val="008269"/>
                </a:solidFill>
              </a:ln>
            </c:spPr>
            <c:extLst>
              <c:ext xmlns:c16="http://schemas.microsoft.com/office/drawing/2014/chart" uri="{C3380CC4-5D6E-409C-BE32-E72D297353CC}">
                <c16:uniqueId val="{00000001-A72D-4008-970A-476F21FD4441}"/>
              </c:ext>
            </c:extLst>
          </c:dPt>
          <c:dPt>
            <c:idx val="2"/>
            <c:invertIfNegative val="0"/>
            <c:bubble3D val="0"/>
            <c:spPr>
              <a:solidFill>
                <a:srgbClr val="B7312C"/>
              </a:solidFill>
              <a:ln>
                <a:solidFill>
                  <a:srgbClr val="7F241F"/>
                </a:solidFill>
              </a:ln>
            </c:spPr>
            <c:extLst>
              <c:ext xmlns:c16="http://schemas.microsoft.com/office/drawing/2014/chart" uri="{C3380CC4-5D6E-409C-BE32-E72D297353CC}">
                <c16:uniqueId val="{00000003-A72D-4008-970A-476F21FD4441}"/>
              </c:ext>
            </c:extLst>
          </c:dPt>
          <c:dPt>
            <c:idx val="3"/>
            <c:invertIfNegative val="0"/>
            <c:bubble3D val="0"/>
            <c:spPr>
              <a:solidFill>
                <a:srgbClr val="005587"/>
              </a:solidFill>
              <a:ln>
                <a:solidFill>
                  <a:srgbClr val="12284C"/>
                </a:solidFill>
              </a:ln>
            </c:spPr>
            <c:extLst>
              <c:ext xmlns:c16="http://schemas.microsoft.com/office/drawing/2014/chart" uri="{C3380CC4-5D6E-409C-BE32-E72D297353CC}">
                <c16:uniqueId val="{00000005-A72D-4008-970A-476F21FD4441}"/>
              </c:ext>
            </c:extLst>
          </c:dPt>
          <c:dPt>
            <c:idx val="4"/>
            <c:invertIfNegative val="0"/>
            <c:bubble3D val="0"/>
            <c:spPr>
              <a:solidFill>
                <a:srgbClr val="53565A"/>
              </a:solidFill>
              <a:ln>
                <a:solidFill>
                  <a:srgbClr val="383A3C"/>
                </a:solidFill>
              </a:ln>
            </c:spPr>
            <c:extLst>
              <c:ext xmlns:c16="http://schemas.microsoft.com/office/drawing/2014/chart" uri="{C3380CC4-5D6E-409C-BE32-E72D297353CC}">
                <c16:uniqueId val="{00000007-A72D-4008-970A-476F21FD4441}"/>
              </c:ext>
            </c:extLst>
          </c:dPt>
          <c:dLbls>
            <c:dLbl>
              <c:idx val="0"/>
              <c:layout>
                <c:manualLayout>
                  <c:x val="1.0132073464371864E-2"/>
                  <c:y val="-3.8826413992771473E-2"/>
                </c:manualLayout>
              </c:layout>
              <c:spPr>
                <a:noFill/>
                <a:ln>
                  <a:noFill/>
                </a:ln>
                <a:effectLst/>
              </c:spPr>
              <c:txPr>
                <a:bodyPr vertOverflow="clip" horzOverflow="clip" wrap="square" lIns="38100" tIns="19050" rIns="38100" bIns="19050" anchor="ctr" anchorCtr="0">
                  <a:spAutoFit/>
                </a:bodyPr>
                <a:lstStyle/>
                <a:p>
                  <a:pPr algn="l">
                    <a:defRPr sz="900">
                      <a:latin typeface="Arial" panose="020B0604020202020204" pitchFamily="34" charset="0"/>
                      <a:ea typeface="Open Sans Light" panose="020B0306030504020204" pitchFamily="34" charset="0"/>
                      <a:cs typeface="Arial" panose="020B0604020202020204" pitchFamily="34" charset="0"/>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A72D-4008-970A-476F21FD4441}"/>
                </c:ext>
              </c:extLst>
            </c:dLbl>
            <c:dLbl>
              <c:idx val="1"/>
              <c:layout>
                <c:manualLayout>
                  <c:x val="1.5129283485714557E-2"/>
                  <c:y val="-4.8005172389448875E-2"/>
                </c:manualLayout>
              </c:layout>
              <c:spPr>
                <a:noFill/>
                <a:ln>
                  <a:noFill/>
                </a:ln>
                <a:effectLst/>
              </c:spPr>
              <c:txPr>
                <a:bodyPr vertOverflow="clip" horzOverflow="clip" wrap="none" lIns="38100" tIns="19050" rIns="38100" bIns="19050" anchor="ctr" anchorCtr="0">
                  <a:spAutoFit/>
                </a:bodyPr>
                <a:lstStyle/>
                <a:p>
                  <a:pPr algn="l">
                    <a:defRPr sz="900">
                      <a:latin typeface="Arial" panose="020B0604020202020204" pitchFamily="34" charset="0"/>
                      <a:ea typeface="Open Sans Light" panose="020B0306030504020204" pitchFamily="34" charset="0"/>
                      <a:cs typeface="Arial" panose="020B0604020202020204" pitchFamily="34" charset="0"/>
                    </a:defRPr>
                  </a:pPr>
                  <a:endParaRPr lang="en-US"/>
                </a:p>
              </c:txP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1-A72D-4008-970A-476F21FD4441}"/>
                </c:ext>
              </c:extLst>
            </c:dLbl>
            <c:dLbl>
              <c:idx val="2"/>
              <c:layout>
                <c:manualLayout>
                  <c:x val="1.3026819748704328E-2"/>
                  <c:y val="-1.5037589533600872E-2"/>
                </c:manualLayout>
              </c:layout>
              <c:spPr>
                <a:noFill/>
                <a:ln>
                  <a:noFill/>
                </a:ln>
                <a:effectLst/>
              </c:spPr>
              <c:txPr>
                <a:bodyPr vertOverflow="clip" horzOverflow="clip" wrap="square" lIns="38100" tIns="19050" rIns="38100" bIns="19050" anchor="ctr" anchorCtr="0">
                  <a:spAutoFit/>
                </a:bodyPr>
                <a:lstStyle/>
                <a:p>
                  <a:pPr algn="l">
                    <a:defRPr sz="900">
                      <a:latin typeface="Arial" panose="020B0604020202020204" pitchFamily="34" charset="0"/>
                      <a:ea typeface="Open Sans Light" panose="020B0306030504020204" pitchFamily="34" charset="0"/>
                      <a:cs typeface="Arial" panose="020B0604020202020204" pitchFamily="34" charset="0"/>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A72D-4008-970A-476F21FD4441}"/>
                </c:ext>
              </c:extLst>
            </c:dLbl>
            <c:dLbl>
              <c:idx val="3"/>
              <c:layout>
                <c:manualLayout>
                  <c:x val="1.1579395332181518E-2"/>
                  <c:y val="-2.631578168380152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A72D-4008-970A-476F21FD4441}"/>
                </c:ext>
              </c:extLst>
            </c:dLbl>
            <c:dLbl>
              <c:idx val="4"/>
              <c:layout>
                <c:manualLayout>
                  <c:x val="1.158161418747738E-2"/>
                  <c:y val="-2.674156309700396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A72D-4008-970A-476F21FD4441}"/>
                </c:ext>
              </c:extLst>
            </c:dLbl>
            <c:spPr>
              <a:noFill/>
              <a:ln>
                <a:noFill/>
              </a:ln>
              <a:effectLst/>
            </c:spPr>
            <c:txPr>
              <a:bodyPr wrap="square" lIns="38100" tIns="19050" rIns="38100" bIns="19050" anchor="ctr" anchorCtr="0">
                <a:spAutoFit/>
              </a:bodyPr>
              <a:lstStyle/>
              <a:p>
                <a:pPr algn="l">
                  <a:defRPr sz="900">
                    <a:latin typeface="Arial" panose="020B0604020202020204" pitchFamily="34" charset="0"/>
                    <a:ea typeface="Open Sans Light" panose="020B0306030504020204" pitchFamily="34" charset="0"/>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SUMEXPEN!$O$1402:$Q$1402</c:f>
              <c:strCache>
                <c:ptCount val="3"/>
                <c:pt idx="0">
                  <c:v>2023-2024</c:v>
                </c:pt>
                <c:pt idx="1">
                  <c:v>2024-2025</c:v>
                </c:pt>
                <c:pt idx="2">
                  <c:v>2025-2026</c:v>
                </c:pt>
              </c:strCache>
            </c:strRef>
          </c:cat>
          <c:val>
            <c:numRef>
              <c:f>SUMEXPEN!$O$1403:$Q$1403</c:f>
              <c:numCache>
                <c:formatCode>#,##0.000</c:formatCode>
                <c:ptCount val="3"/>
                <c:pt idx="0">
                  <c:v>56.031999999999996</c:v>
                </c:pt>
                <c:pt idx="1">
                  <c:v>55.904000000000003</c:v>
                </c:pt>
                <c:pt idx="2">
                  <c:v>59.728000000000002</c:v>
                </c:pt>
              </c:numCache>
            </c:numRef>
          </c:val>
          <c:shape val="pyramid"/>
          <c:extLst>
            <c:ext xmlns:c16="http://schemas.microsoft.com/office/drawing/2014/chart" uri="{C3380CC4-5D6E-409C-BE32-E72D297353CC}">
              <c16:uniqueId val="{00000009-A72D-4008-970A-476F21FD4441}"/>
            </c:ext>
          </c:extLst>
        </c:ser>
        <c:dLbls>
          <c:showLegendKey val="0"/>
          <c:showVal val="1"/>
          <c:showCatName val="0"/>
          <c:showSerName val="0"/>
          <c:showPercent val="0"/>
          <c:showBubbleSize val="0"/>
        </c:dLbls>
        <c:gapWidth val="150"/>
        <c:shape val="box"/>
        <c:axId val="128185088"/>
        <c:axId val="128186624"/>
        <c:axId val="0"/>
      </c:bar3DChart>
      <c:catAx>
        <c:axId val="128185088"/>
        <c:scaling>
          <c:orientation val="minMax"/>
        </c:scaling>
        <c:delete val="0"/>
        <c:axPos val="b"/>
        <c:numFmt formatCode="General" sourceLinked="1"/>
        <c:majorTickMark val="none"/>
        <c:minorTickMark val="none"/>
        <c:tickLblPos val="nextTo"/>
        <c:spPr>
          <a:noFill/>
        </c:spPr>
        <c:txPr>
          <a:bodyPr rot="0" anchor="t" anchorCtr="0"/>
          <a:lstStyle/>
          <a:p>
            <a:pPr>
              <a:defRPr sz="900" b="0" baseline="0">
                <a:solidFill>
                  <a:sysClr val="windowText" lastClr="000000"/>
                </a:solidFill>
                <a:latin typeface="Arial" panose="020B0604020202020204" pitchFamily="34" charset="0"/>
                <a:ea typeface="Open Sans" panose="020B0606030504020204" pitchFamily="34" charset="0"/>
                <a:cs typeface="Arial" panose="020B0604020202020204" pitchFamily="34" charset="0"/>
              </a:defRPr>
            </a:pPr>
            <a:endParaRPr lang="en-US"/>
          </a:p>
        </c:txPr>
        <c:crossAx val="128186624"/>
        <c:crosses val="autoZero"/>
        <c:auto val="1"/>
        <c:lblAlgn val="ctr"/>
        <c:lblOffset val="100"/>
        <c:noMultiLvlLbl val="0"/>
      </c:catAx>
      <c:valAx>
        <c:axId val="128186624"/>
        <c:scaling>
          <c:orientation val="minMax"/>
        </c:scaling>
        <c:delete val="0"/>
        <c:axPos val="l"/>
        <c:majorGridlines>
          <c:spPr>
            <a:ln>
              <a:solidFill>
                <a:srgbClr val="53565A"/>
              </a:solidFill>
            </a:ln>
          </c:spPr>
        </c:majorGridlines>
        <c:numFmt formatCode="#,##0.000" sourceLinked="1"/>
        <c:majorTickMark val="none"/>
        <c:minorTickMark val="none"/>
        <c:tickLblPos val="nextTo"/>
        <c:spPr>
          <a:ln>
            <a:solidFill>
              <a:srgbClr val="53565A"/>
            </a:solidFill>
          </a:ln>
        </c:spPr>
        <c:txPr>
          <a:bodyPr/>
          <a:lstStyle/>
          <a:p>
            <a:pPr>
              <a:defRPr sz="900" baseline="0">
                <a:latin typeface="Arial" panose="020B0604020202020204" pitchFamily="34" charset="0"/>
                <a:ea typeface="Open Sans" panose="020B0606030504020204" pitchFamily="34" charset="0"/>
                <a:cs typeface="Arial" panose="020B0604020202020204" pitchFamily="34" charset="0"/>
              </a:defRPr>
            </a:pPr>
            <a:endParaRPr lang="en-US"/>
          </a:p>
        </c:txPr>
        <c:crossAx val="128185088"/>
        <c:crosses val="autoZero"/>
        <c:crossBetween val="between"/>
      </c:valAx>
      <c:spPr>
        <a:noFill/>
        <a:ln>
          <a:noFill/>
        </a:ln>
      </c:spPr>
    </c:plotArea>
    <c:plotVisOnly val="1"/>
    <c:dispBlanksAs val="gap"/>
    <c:showDLblsOverMax val="0"/>
  </c:chart>
  <c:spPr>
    <a:noFill/>
    <a:ln>
      <a:noFill/>
    </a:ln>
  </c:spPr>
  <c:printSettings>
    <c:headerFooter/>
    <c:pageMargins b="0.75" l="0.7" r="0.7" t="0.75" header="0.3" footer="0.3"/>
    <c:pageSetup orientation="portrait"/>
  </c:printSettings>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34"/>
    </mc:Choice>
    <mc:Fallback>
      <c:style val="34"/>
    </mc:Fallback>
  </mc:AlternateContent>
  <c:clrMapOvr bg1="lt1" tx1="dk1" bg2="lt2" tx2="dk2" accent1="accent1" accent2="accent2" accent3="accent3" accent4="accent4" accent5="accent5" accent6="accent6" hlink="hlink" folHlink="folHlink"/>
  <c:chart>
    <c:title>
      <c:tx>
        <c:rich>
          <a:bodyPr/>
          <a:lstStyle/>
          <a:p>
            <a:pPr algn="ctr" rtl="0">
              <a:defRPr lang="en-US" sz="1400" b="0" i="0" u="none" strike="noStrike" kern="1200" baseline="0">
                <a:solidFill>
                  <a:srgbClr val="D50032"/>
                </a:solidFill>
                <a:latin typeface="Arial" panose="020B0604020202020204" pitchFamily="34" charset="0"/>
                <a:ea typeface="Open Sans Semibold" panose="020B0706030804020204" pitchFamily="34" charset="0"/>
                <a:cs typeface="Arial" panose="020B0604020202020204" pitchFamily="34" charset="0"/>
              </a:defRPr>
            </a:pPr>
            <a:r>
              <a:rPr lang="en-US" sz="1400" b="0" i="0" u="none" strike="noStrike" kern="1200" baseline="0">
                <a:solidFill>
                  <a:srgbClr val="D50032"/>
                </a:solidFill>
                <a:latin typeface="Arial" panose="020B0604020202020204" pitchFamily="34" charset="0"/>
                <a:ea typeface="Open Sans Semibold" panose="020B0706030804020204" pitchFamily="34" charset="0"/>
                <a:cs typeface="Arial" panose="020B0604020202020204" pitchFamily="34" charset="0"/>
              </a:rPr>
              <a:t>Assessed Valuation</a:t>
            </a:r>
          </a:p>
        </c:rich>
      </c:tx>
      <c:layout>
        <c:manualLayout>
          <c:xMode val="edge"/>
          <c:yMode val="edge"/>
          <c:x val="0.40360078779462344"/>
          <c:y val="4.1021240224331866E-2"/>
        </c:manualLayout>
      </c:layout>
      <c:overlay val="0"/>
    </c:title>
    <c:autoTitleDeleted val="0"/>
    <c:view3D>
      <c:rotX val="15"/>
      <c:rotY val="20"/>
      <c:depthPercent val="100"/>
      <c:rAngAx val="1"/>
    </c:view3D>
    <c:floor>
      <c:thickness val="0"/>
      <c:spPr>
        <a:gradFill flip="none" rotWithShape="1">
          <a:gsLst>
            <a:gs pos="0">
              <a:srgbClr val="12284C">
                <a:lumMod val="5000"/>
                <a:lumOff val="95000"/>
              </a:srgbClr>
            </a:gs>
            <a:gs pos="74000">
              <a:srgbClr val="12284C">
                <a:lumMod val="45000"/>
                <a:lumOff val="55000"/>
              </a:srgbClr>
            </a:gs>
            <a:gs pos="83000">
              <a:srgbClr val="12284C">
                <a:lumMod val="45000"/>
                <a:lumOff val="55000"/>
              </a:srgbClr>
            </a:gs>
            <a:gs pos="100000">
              <a:srgbClr val="12284C">
                <a:lumMod val="30000"/>
                <a:lumOff val="70000"/>
              </a:srgbClr>
            </a:gs>
          </a:gsLst>
          <a:path path="circle">
            <a:fillToRect l="100000" t="100000"/>
          </a:path>
          <a:tileRect r="-100000" b="-100000"/>
        </a:gradFill>
        <a:ln>
          <a:solidFill>
            <a:srgbClr val="12284C"/>
          </a:solidFill>
        </a:ln>
      </c:spPr>
    </c:floor>
    <c:sideWall>
      <c:thickness val="0"/>
      <c:spPr>
        <a:gradFill flip="none" rotWithShape="1">
          <a:gsLst>
            <a:gs pos="0">
              <a:srgbClr val="12284C">
                <a:lumMod val="5000"/>
                <a:lumOff val="95000"/>
              </a:srgbClr>
            </a:gs>
            <a:gs pos="74000">
              <a:srgbClr val="12284C">
                <a:lumMod val="45000"/>
                <a:lumOff val="55000"/>
              </a:srgbClr>
            </a:gs>
            <a:gs pos="83000">
              <a:srgbClr val="12284C">
                <a:lumMod val="45000"/>
                <a:lumOff val="55000"/>
              </a:srgbClr>
            </a:gs>
            <a:gs pos="100000">
              <a:srgbClr val="12284C">
                <a:lumMod val="30000"/>
                <a:lumOff val="70000"/>
              </a:srgbClr>
            </a:gs>
          </a:gsLst>
          <a:path path="circle">
            <a:fillToRect l="100000" t="100000"/>
          </a:path>
          <a:tileRect r="-100000" b="-100000"/>
        </a:gradFill>
        <a:ln>
          <a:solidFill>
            <a:srgbClr val="12284C"/>
          </a:solidFill>
        </a:ln>
      </c:spPr>
    </c:sideWall>
    <c:backWall>
      <c:thickness val="0"/>
      <c:spPr>
        <a:gradFill flip="none" rotWithShape="1">
          <a:gsLst>
            <a:gs pos="0">
              <a:srgbClr val="12284C">
                <a:lumMod val="5000"/>
                <a:lumOff val="95000"/>
              </a:srgbClr>
            </a:gs>
            <a:gs pos="74000">
              <a:srgbClr val="12284C">
                <a:lumMod val="45000"/>
                <a:lumOff val="55000"/>
              </a:srgbClr>
            </a:gs>
            <a:gs pos="83000">
              <a:srgbClr val="12284C">
                <a:lumMod val="45000"/>
                <a:lumOff val="55000"/>
              </a:srgbClr>
            </a:gs>
            <a:gs pos="100000">
              <a:srgbClr val="12284C">
                <a:lumMod val="30000"/>
                <a:lumOff val="70000"/>
              </a:srgbClr>
            </a:gs>
          </a:gsLst>
          <a:path path="circle">
            <a:fillToRect l="100000" t="100000"/>
          </a:path>
          <a:tileRect r="-100000" b="-100000"/>
        </a:gradFill>
        <a:ln>
          <a:solidFill>
            <a:srgbClr val="12284C"/>
          </a:solidFill>
        </a:ln>
      </c:spPr>
    </c:backWall>
    <c:plotArea>
      <c:layout>
        <c:manualLayout>
          <c:layoutTarget val="inner"/>
          <c:xMode val="edge"/>
          <c:yMode val="edge"/>
          <c:x val="3.0575644109563874E-2"/>
          <c:y val="0.16386807517302321"/>
          <c:w val="0.96942435589043607"/>
          <c:h val="0.72190394631117549"/>
        </c:manualLayout>
      </c:layout>
      <c:bar3DChart>
        <c:barDir val="col"/>
        <c:grouping val="clustered"/>
        <c:varyColors val="0"/>
        <c:ser>
          <c:idx val="0"/>
          <c:order val="0"/>
          <c:tx>
            <c:strRef>
              <c:f>SUMEXPEN!$O$1445</c:f>
              <c:strCache>
                <c:ptCount val="1"/>
                <c:pt idx="0">
                  <c:v>Assessed Valuation</c:v>
                </c:pt>
              </c:strCache>
            </c:strRef>
          </c:tx>
          <c:spPr>
            <a:solidFill>
              <a:srgbClr val="FFA400"/>
            </a:solidFill>
            <a:ln>
              <a:solidFill>
                <a:srgbClr val="D28700"/>
              </a:solidFill>
            </a:ln>
          </c:spPr>
          <c:invertIfNegative val="0"/>
          <c:dPt>
            <c:idx val="1"/>
            <c:invertIfNegative val="0"/>
            <c:bubble3D val="0"/>
            <c:spPr>
              <a:solidFill>
                <a:srgbClr val="00B796"/>
              </a:solidFill>
              <a:ln>
                <a:solidFill>
                  <a:srgbClr val="008269"/>
                </a:solidFill>
              </a:ln>
            </c:spPr>
            <c:extLst>
              <c:ext xmlns:c16="http://schemas.microsoft.com/office/drawing/2014/chart" uri="{C3380CC4-5D6E-409C-BE32-E72D297353CC}">
                <c16:uniqueId val="{00000001-E870-4856-AD21-0ED1999DCEE0}"/>
              </c:ext>
            </c:extLst>
          </c:dPt>
          <c:dPt>
            <c:idx val="2"/>
            <c:invertIfNegative val="0"/>
            <c:bubble3D val="0"/>
            <c:spPr>
              <a:solidFill>
                <a:srgbClr val="B7312C"/>
              </a:solidFill>
              <a:ln>
                <a:solidFill>
                  <a:srgbClr val="7F241F"/>
                </a:solidFill>
              </a:ln>
            </c:spPr>
            <c:extLst>
              <c:ext xmlns:c16="http://schemas.microsoft.com/office/drawing/2014/chart" uri="{C3380CC4-5D6E-409C-BE32-E72D297353CC}">
                <c16:uniqueId val="{00000003-E870-4856-AD21-0ED1999DCEE0}"/>
              </c:ext>
            </c:extLst>
          </c:dPt>
          <c:dPt>
            <c:idx val="3"/>
            <c:invertIfNegative val="0"/>
            <c:bubble3D val="0"/>
            <c:spPr>
              <a:solidFill>
                <a:srgbClr val="005587"/>
              </a:solidFill>
              <a:ln>
                <a:solidFill>
                  <a:srgbClr val="12284C"/>
                </a:solidFill>
              </a:ln>
            </c:spPr>
            <c:extLst>
              <c:ext xmlns:c16="http://schemas.microsoft.com/office/drawing/2014/chart" uri="{C3380CC4-5D6E-409C-BE32-E72D297353CC}">
                <c16:uniqueId val="{00000005-E870-4856-AD21-0ED1999DCEE0}"/>
              </c:ext>
            </c:extLst>
          </c:dPt>
          <c:dPt>
            <c:idx val="4"/>
            <c:invertIfNegative val="0"/>
            <c:bubble3D val="0"/>
            <c:spPr>
              <a:solidFill>
                <a:srgbClr val="53565A"/>
              </a:solidFill>
              <a:ln>
                <a:solidFill>
                  <a:srgbClr val="383A3C"/>
                </a:solidFill>
              </a:ln>
            </c:spPr>
            <c:extLst>
              <c:ext xmlns:c16="http://schemas.microsoft.com/office/drawing/2014/chart" uri="{C3380CC4-5D6E-409C-BE32-E72D297353CC}">
                <c16:uniqueId val="{00000007-E870-4856-AD21-0ED1999DCEE0}"/>
              </c:ext>
            </c:extLst>
          </c:dPt>
          <c:dLbls>
            <c:dLbl>
              <c:idx val="0"/>
              <c:layout>
                <c:manualLayout>
                  <c:x val="1.0132073464371864E-2"/>
                  <c:y val="-3.8826413992771473E-2"/>
                </c:manualLayout>
              </c:layout>
              <c:spPr>
                <a:noFill/>
                <a:ln>
                  <a:noFill/>
                </a:ln>
                <a:effectLst/>
              </c:spPr>
              <c:txPr>
                <a:bodyPr vertOverflow="clip" horzOverflow="clip" wrap="square" lIns="38100" tIns="19050" rIns="38100" bIns="19050" anchor="ctr" anchorCtr="0">
                  <a:spAutoFit/>
                </a:bodyPr>
                <a:lstStyle/>
                <a:p>
                  <a:pPr algn="l">
                    <a:defRPr sz="900">
                      <a:latin typeface="Arial" panose="020B0604020202020204" pitchFamily="34" charset="0"/>
                      <a:ea typeface="Open Sans Light" panose="020B0306030504020204" pitchFamily="34" charset="0"/>
                      <a:cs typeface="Arial" panose="020B0604020202020204" pitchFamily="34" charset="0"/>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E870-4856-AD21-0ED1999DCEE0}"/>
                </c:ext>
              </c:extLst>
            </c:dLbl>
            <c:dLbl>
              <c:idx val="1"/>
              <c:layout>
                <c:manualLayout>
                  <c:x val="1.5129283485714557E-2"/>
                  <c:y val="-4.8005172389448875E-2"/>
                </c:manualLayout>
              </c:layout>
              <c:spPr>
                <a:noFill/>
                <a:ln>
                  <a:noFill/>
                </a:ln>
                <a:effectLst/>
              </c:spPr>
              <c:txPr>
                <a:bodyPr vertOverflow="clip" horzOverflow="clip" wrap="none" lIns="38100" tIns="19050" rIns="38100" bIns="19050" anchor="ctr" anchorCtr="0">
                  <a:spAutoFit/>
                </a:bodyPr>
                <a:lstStyle/>
                <a:p>
                  <a:pPr algn="l">
                    <a:defRPr sz="900">
                      <a:latin typeface="Arial" panose="020B0604020202020204" pitchFamily="34" charset="0"/>
                      <a:ea typeface="Open Sans Light" panose="020B0306030504020204" pitchFamily="34" charset="0"/>
                      <a:cs typeface="Arial" panose="020B0604020202020204" pitchFamily="34" charset="0"/>
                    </a:defRPr>
                  </a:pPr>
                  <a:endParaRPr lang="en-US"/>
                </a:p>
              </c:txP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1-E870-4856-AD21-0ED1999DCEE0}"/>
                </c:ext>
              </c:extLst>
            </c:dLbl>
            <c:dLbl>
              <c:idx val="2"/>
              <c:layout>
                <c:manualLayout>
                  <c:x val="1.3026819748704328E-2"/>
                  <c:y val="-1.5037589533600872E-2"/>
                </c:manualLayout>
              </c:layout>
              <c:spPr>
                <a:noFill/>
                <a:ln>
                  <a:noFill/>
                </a:ln>
                <a:effectLst/>
              </c:spPr>
              <c:txPr>
                <a:bodyPr vertOverflow="clip" horzOverflow="clip" wrap="square" lIns="38100" tIns="19050" rIns="38100" bIns="19050" anchor="ctr" anchorCtr="0">
                  <a:spAutoFit/>
                </a:bodyPr>
                <a:lstStyle/>
                <a:p>
                  <a:pPr algn="l">
                    <a:defRPr sz="900">
                      <a:latin typeface="Arial" panose="020B0604020202020204" pitchFamily="34" charset="0"/>
                      <a:ea typeface="Open Sans Light" panose="020B0306030504020204" pitchFamily="34" charset="0"/>
                      <a:cs typeface="Arial" panose="020B0604020202020204" pitchFamily="34" charset="0"/>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E870-4856-AD21-0ED1999DCEE0}"/>
                </c:ext>
              </c:extLst>
            </c:dLbl>
            <c:dLbl>
              <c:idx val="3"/>
              <c:layout>
                <c:manualLayout>
                  <c:x val="1.1579395332181518E-2"/>
                  <c:y val="-2.631578168380152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E870-4856-AD21-0ED1999DCEE0}"/>
                </c:ext>
              </c:extLst>
            </c:dLbl>
            <c:dLbl>
              <c:idx val="4"/>
              <c:layout>
                <c:manualLayout>
                  <c:x val="1.158161418747738E-2"/>
                  <c:y val="-2.674156309700396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E870-4856-AD21-0ED1999DCEE0}"/>
                </c:ext>
              </c:extLst>
            </c:dLbl>
            <c:spPr>
              <a:noFill/>
              <a:ln>
                <a:noFill/>
              </a:ln>
              <a:effectLst/>
            </c:spPr>
            <c:txPr>
              <a:bodyPr wrap="square" lIns="38100" tIns="19050" rIns="38100" bIns="19050" anchor="ctr" anchorCtr="0">
                <a:spAutoFit/>
              </a:bodyPr>
              <a:lstStyle/>
              <a:p>
                <a:pPr algn="l">
                  <a:defRPr sz="900">
                    <a:latin typeface="Arial" panose="020B0604020202020204" pitchFamily="34" charset="0"/>
                    <a:ea typeface="Open Sans Light" panose="020B0306030504020204" pitchFamily="34" charset="0"/>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SUMEXPEN!$P$1444:$R$1444</c:f>
              <c:strCache>
                <c:ptCount val="3"/>
                <c:pt idx="0">
                  <c:v>2023-2024</c:v>
                </c:pt>
                <c:pt idx="1">
                  <c:v>2024-2025</c:v>
                </c:pt>
                <c:pt idx="2">
                  <c:v>2025-2026</c:v>
                </c:pt>
              </c:strCache>
            </c:strRef>
          </c:cat>
          <c:val>
            <c:numRef>
              <c:f>SUMEXPEN!$P$1445:$R$1445</c:f>
              <c:numCache>
                <c:formatCode>"$"#,##0_);\("$"#,##0\)</c:formatCode>
                <c:ptCount val="3"/>
                <c:pt idx="0">
                  <c:v>18536236</c:v>
                </c:pt>
                <c:pt idx="1">
                  <c:v>17978257</c:v>
                </c:pt>
                <c:pt idx="2">
                  <c:v>19995239</c:v>
                </c:pt>
              </c:numCache>
            </c:numRef>
          </c:val>
          <c:shape val="pyramid"/>
          <c:extLst>
            <c:ext xmlns:c16="http://schemas.microsoft.com/office/drawing/2014/chart" uri="{C3380CC4-5D6E-409C-BE32-E72D297353CC}">
              <c16:uniqueId val="{00000009-E870-4856-AD21-0ED1999DCEE0}"/>
            </c:ext>
          </c:extLst>
        </c:ser>
        <c:dLbls>
          <c:showLegendKey val="0"/>
          <c:showVal val="1"/>
          <c:showCatName val="0"/>
          <c:showSerName val="0"/>
          <c:showPercent val="0"/>
          <c:showBubbleSize val="0"/>
        </c:dLbls>
        <c:gapWidth val="150"/>
        <c:shape val="box"/>
        <c:axId val="128185088"/>
        <c:axId val="128186624"/>
        <c:axId val="0"/>
      </c:bar3DChart>
      <c:catAx>
        <c:axId val="128185088"/>
        <c:scaling>
          <c:orientation val="minMax"/>
        </c:scaling>
        <c:delete val="0"/>
        <c:axPos val="b"/>
        <c:numFmt formatCode="General" sourceLinked="1"/>
        <c:majorTickMark val="none"/>
        <c:minorTickMark val="none"/>
        <c:tickLblPos val="nextTo"/>
        <c:spPr>
          <a:noFill/>
        </c:spPr>
        <c:txPr>
          <a:bodyPr rot="0" anchor="t" anchorCtr="0"/>
          <a:lstStyle/>
          <a:p>
            <a:pPr>
              <a:defRPr sz="900" b="0" baseline="0">
                <a:solidFill>
                  <a:sysClr val="windowText" lastClr="000000"/>
                </a:solidFill>
                <a:latin typeface="Arial" panose="020B0604020202020204" pitchFamily="34" charset="0"/>
                <a:ea typeface="Open Sans" panose="020B0606030504020204" pitchFamily="34" charset="0"/>
                <a:cs typeface="Arial" panose="020B0604020202020204" pitchFamily="34" charset="0"/>
              </a:defRPr>
            </a:pPr>
            <a:endParaRPr lang="en-US"/>
          </a:p>
        </c:txPr>
        <c:crossAx val="128186624"/>
        <c:crosses val="autoZero"/>
        <c:auto val="1"/>
        <c:lblAlgn val="ctr"/>
        <c:lblOffset val="100"/>
        <c:noMultiLvlLbl val="0"/>
      </c:catAx>
      <c:valAx>
        <c:axId val="128186624"/>
        <c:scaling>
          <c:orientation val="minMax"/>
        </c:scaling>
        <c:delete val="0"/>
        <c:axPos val="l"/>
        <c:majorGridlines>
          <c:spPr>
            <a:ln>
              <a:solidFill>
                <a:srgbClr val="53565A"/>
              </a:solidFill>
            </a:ln>
          </c:spPr>
        </c:majorGridlines>
        <c:numFmt formatCode="&quot;$&quot;#,##0_);\(&quot;$&quot;#,##0\)" sourceLinked="1"/>
        <c:majorTickMark val="none"/>
        <c:minorTickMark val="none"/>
        <c:tickLblPos val="nextTo"/>
        <c:spPr>
          <a:ln>
            <a:solidFill>
              <a:srgbClr val="53565A"/>
            </a:solidFill>
          </a:ln>
        </c:spPr>
        <c:txPr>
          <a:bodyPr/>
          <a:lstStyle/>
          <a:p>
            <a:pPr>
              <a:defRPr sz="900" baseline="0">
                <a:latin typeface="Arial" panose="020B0604020202020204" pitchFamily="34" charset="0"/>
                <a:ea typeface="Open Sans" panose="020B0606030504020204" pitchFamily="34" charset="0"/>
                <a:cs typeface="Arial" panose="020B0604020202020204" pitchFamily="34" charset="0"/>
              </a:defRPr>
            </a:pPr>
            <a:endParaRPr lang="en-US"/>
          </a:p>
        </c:txPr>
        <c:crossAx val="128185088"/>
        <c:crosses val="autoZero"/>
        <c:crossBetween val="between"/>
      </c:valAx>
      <c:spPr>
        <a:noFill/>
        <a:ln>
          <a:noFill/>
        </a:ln>
      </c:spPr>
    </c:plotArea>
    <c:plotVisOnly val="1"/>
    <c:dispBlanksAs val="gap"/>
    <c:showDLblsOverMax val="0"/>
  </c:chart>
  <c:spPr>
    <a:noFill/>
    <a:ln>
      <a:noFill/>
    </a:ln>
  </c:spPr>
  <c:printSettings>
    <c:headerFooter/>
    <c:pageMargins b="0.75" l="0.7" r="0.7" t="0.75" header="0.3" footer="0.3"/>
    <c:pageSetup orientation="portrait"/>
  </c:printSettings>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34"/>
    </mc:Choice>
    <mc:Fallback>
      <c:style val="34"/>
    </mc:Fallback>
  </mc:AlternateContent>
  <c:clrMapOvr bg1="lt1" tx1="dk1" bg2="lt2" tx2="dk2" accent1="accent1" accent2="accent2" accent3="accent3" accent4="accent4" accent5="accent5" accent6="accent6" hlink="hlink" folHlink="folHlink"/>
  <c:chart>
    <c:title>
      <c:tx>
        <c:rich>
          <a:bodyPr/>
          <a:lstStyle/>
          <a:p>
            <a:pPr algn="ctr" rtl="0">
              <a:defRPr lang="en-US" sz="1400" b="0" i="0" u="none" strike="noStrike" kern="1200" baseline="0">
                <a:solidFill>
                  <a:srgbClr val="D50032"/>
                </a:solidFill>
                <a:latin typeface="Arial" panose="020B0604020202020204" pitchFamily="34" charset="0"/>
                <a:ea typeface="Open Sans Semibold" panose="020B0706030804020204" pitchFamily="34" charset="0"/>
                <a:cs typeface="Arial" panose="020B0604020202020204" pitchFamily="34" charset="0"/>
              </a:defRPr>
            </a:pPr>
            <a:r>
              <a:rPr lang="en-US" sz="1400" b="0" i="0" u="none" strike="noStrike" kern="1200" baseline="0">
                <a:solidFill>
                  <a:srgbClr val="D50032"/>
                </a:solidFill>
                <a:latin typeface="Arial" panose="020B0604020202020204" pitchFamily="34" charset="0"/>
                <a:ea typeface="Open Sans Semibold" panose="020B0706030804020204" pitchFamily="34" charset="0"/>
                <a:cs typeface="Arial" panose="020B0604020202020204" pitchFamily="34" charset="0"/>
              </a:rPr>
              <a:t>Total USD Debt</a:t>
            </a:r>
          </a:p>
        </c:rich>
      </c:tx>
      <c:layout>
        <c:manualLayout>
          <c:xMode val="edge"/>
          <c:yMode val="edge"/>
          <c:x val="0.42677057895910403"/>
          <c:y val="4.3923766881672661E-2"/>
        </c:manualLayout>
      </c:layout>
      <c:overlay val="0"/>
    </c:title>
    <c:autoTitleDeleted val="0"/>
    <c:view3D>
      <c:rotX val="15"/>
      <c:rotY val="20"/>
      <c:depthPercent val="100"/>
      <c:rAngAx val="1"/>
    </c:view3D>
    <c:floor>
      <c:thickness val="0"/>
      <c:spPr>
        <a:gradFill flip="none" rotWithShape="1">
          <a:gsLst>
            <a:gs pos="0">
              <a:srgbClr val="12284C">
                <a:lumMod val="5000"/>
                <a:lumOff val="95000"/>
              </a:srgbClr>
            </a:gs>
            <a:gs pos="74000">
              <a:srgbClr val="12284C">
                <a:lumMod val="45000"/>
                <a:lumOff val="55000"/>
              </a:srgbClr>
            </a:gs>
            <a:gs pos="83000">
              <a:srgbClr val="12284C">
                <a:lumMod val="45000"/>
                <a:lumOff val="55000"/>
              </a:srgbClr>
            </a:gs>
            <a:gs pos="100000">
              <a:srgbClr val="12284C">
                <a:lumMod val="30000"/>
                <a:lumOff val="70000"/>
              </a:srgbClr>
            </a:gs>
          </a:gsLst>
          <a:path path="circle">
            <a:fillToRect l="100000" t="100000"/>
          </a:path>
          <a:tileRect r="-100000" b="-100000"/>
        </a:gradFill>
        <a:ln>
          <a:solidFill>
            <a:srgbClr val="12284C"/>
          </a:solidFill>
        </a:ln>
      </c:spPr>
    </c:floor>
    <c:sideWall>
      <c:thickness val="0"/>
      <c:spPr>
        <a:gradFill flip="none" rotWithShape="1">
          <a:gsLst>
            <a:gs pos="0">
              <a:srgbClr val="12284C">
                <a:lumMod val="5000"/>
                <a:lumOff val="95000"/>
              </a:srgbClr>
            </a:gs>
            <a:gs pos="74000">
              <a:srgbClr val="12284C">
                <a:lumMod val="45000"/>
                <a:lumOff val="55000"/>
              </a:srgbClr>
            </a:gs>
            <a:gs pos="83000">
              <a:srgbClr val="12284C">
                <a:lumMod val="45000"/>
                <a:lumOff val="55000"/>
              </a:srgbClr>
            </a:gs>
            <a:gs pos="100000">
              <a:srgbClr val="12284C">
                <a:lumMod val="30000"/>
                <a:lumOff val="70000"/>
              </a:srgbClr>
            </a:gs>
          </a:gsLst>
          <a:path path="circle">
            <a:fillToRect l="100000" t="100000"/>
          </a:path>
          <a:tileRect r="-100000" b="-100000"/>
        </a:gradFill>
        <a:ln>
          <a:solidFill>
            <a:srgbClr val="12284C"/>
          </a:solidFill>
        </a:ln>
      </c:spPr>
    </c:sideWall>
    <c:backWall>
      <c:thickness val="0"/>
      <c:spPr>
        <a:gradFill flip="none" rotWithShape="1">
          <a:gsLst>
            <a:gs pos="0">
              <a:srgbClr val="12284C">
                <a:lumMod val="5000"/>
                <a:lumOff val="95000"/>
              </a:srgbClr>
            </a:gs>
            <a:gs pos="74000">
              <a:srgbClr val="12284C">
                <a:lumMod val="45000"/>
                <a:lumOff val="55000"/>
              </a:srgbClr>
            </a:gs>
            <a:gs pos="83000">
              <a:srgbClr val="12284C">
                <a:lumMod val="45000"/>
                <a:lumOff val="55000"/>
              </a:srgbClr>
            </a:gs>
            <a:gs pos="100000">
              <a:srgbClr val="12284C">
                <a:lumMod val="30000"/>
                <a:lumOff val="70000"/>
              </a:srgbClr>
            </a:gs>
          </a:gsLst>
          <a:path path="circle">
            <a:fillToRect l="100000" t="100000"/>
          </a:path>
          <a:tileRect r="-100000" b="-100000"/>
        </a:gradFill>
        <a:ln>
          <a:solidFill>
            <a:srgbClr val="12284C"/>
          </a:solidFill>
        </a:ln>
      </c:spPr>
    </c:backWall>
    <c:plotArea>
      <c:layout>
        <c:manualLayout>
          <c:layoutTarget val="inner"/>
          <c:xMode val="edge"/>
          <c:yMode val="edge"/>
          <c:x val="3.0575644109563874E-2"/>
          <c:y val="0.16386807517302321"/>
          <c:w val="0.96942435589043607"/>
          <c:h val="0.72190394631117549"/>
        </c:manualLayout>
      </c:layout>
      <c:bar3DChart>
        <c:barDir val="col"/>
        <c:grouping val="clustered"/>
        <c:varyColors val="0"/>
        <c:ser>
          <c:idx val="0"/>
          <c:order val="0"/>
          <c:tx>
            <c:strRef>
              <c:f>SUMEXPEN!$O$1473</c:f>
              <c:strCache>
                <c:ptCount val="1"/>
                <c:pt idx="0">
                  <c:v>Total USD Debt</c:v>
                </c:pt>
              </c:strCache>
            </c:strRef>
          </c:tx>
          <c:spPr>
            <a:solidFill>
              <a:srgbClr val="FFA400"/>
            </a:solidFill>
            <a:ln>
              <a:solidFill>
                <a:srgbClr val="D28700"/>
              </a:solidFill>
            </a:ln>
          </c:spPr>
          <c:invertIfNegative val="0"/>
          <c:dPt>
            <c:idx val="1"/>
            <c:invertIfNegative val="0"/>
            <c:bubble3D val="0"/>
            <c:spPr>
              <a:solidFill>
                <a:srgbClr val="00B796"/>
              </a:solidFill>
              <a:ln>
                <a:solidFill>
                  <a:srgbClr val="008269"/>
                </a:solidFill>
              </a:ln>
            </c:spPr>
            <c:extLst>
              <c:ext xmlns:c16="http://schemas.microsoft.com/office/drawing/2014/chart" uri="{C3380CC4-5D6E-409C-BE32-E72D297353CC}">
                <c16:uniqueId val="{00000001-11A7-4C61-A886-6006F71C7C33}"/>
              </c:ext>
            </c:extLst>
          </c:dPt>
          <c:dPt>
            <c:idx val="2"/>
            <c:invertIfNegative val="0"/>
            <c:bubble3D val="0"/>
            <c:spPr>
              <a:solidFill>
                <a:srgbClr val="B7312C"/>
              </a:solidFill>
              <a:ln>
                <a:solidFill>
                  <a:srgbClr val="7F241F"/>
                </a:solidFill>
              </a:ln>
            </c:spPr>
            <c:extLst>
              <c:ext xmlns:c16="http://schemas.microsoft.com/office/drawing/2014/chart" uri="{C3380CC4-5D6E-409C-BE32-E72D297353CC}">
                <c16:uniqueId val="{00000003-11A7-4C61-A886-6006F71C7C33}"/>
              </c:ext>
            </c:extLst>
          </c:dPt>
          <c:dPt>
            <c:idx val="3"/>
            <c:invertIfNegative val="0"/>
            <c:bubble3D val="0"/>
            <c:spPr>
              <a:solidFill>
                <a:srgbClr val="005587"/>
              </a:solidFill>
              <a:ln>
                <a:solidFill>
                  <a:srgbClr val="12284C"/>
                </a:solidFill>
              </a:ln>
            </c:spPr>
            <c:extLst>
              <c:ext xmlns:c16="http://schemas.microsoft.com/office/drawing/2014/chart" uri="{C3380CC4-5D6E-409C-BE32-E72D297353CC}">
                <c16:uniqueId val="{00000005-11A7-4C61-A886-6006F71C7C33}"/>
              </c:ext>
            </c:extLst>
          </c:dPt>
          <c:dPt>
            <c:idx val="4"/>
            <c:invertIfNegative val="0"/>
            <c:bubble3D val="0"/>
            <c:spPr>
              <a:solidFill>
                <a:srgbClr val="53565A"/>
              </a:solidFill>
              <a:ln>
                <a:solidFill>
                  <a:srgbClr val="383A3C"/>
                </a:solidFill>
              </a:ln>
            </c:spPr>
            <c:extLst>
              <c:ext xmlns:c16="http://schemas.microsoft.com/office/drawing/2014/chart" uri="{C3380CC4-5D6E-409C-BE32-E72D297353CC}">
                <c16:uniqueId val="{00000007-11A7-4C61-A886-6006F71C7C33}"/>
              </c:ext>
            </c:extLst>
          </c:dPt>
          <c:dLbls>
            <c:dLbl>
              <c:idx val="0"/>
              <c:layout>
                <c:manualLayout>
                  <c:x val="1.0132073464371864E-2"/>
                  <c:y val="-3.8826413992771473E-2"/>
                </c:manualLayout>
              </c:layout>
              <c:spPr>
                <a:noFill/>
                <a:ln>
                  <a:noFill/>
                </a:ln>
                <a:effectLst/>
              </c:spPr>
              <c:txPr>
                <a:bodyPr vertOverflow="clip" horzOverflow="clip" wrap="square" lIns="38100" tIns="19050" rIns="38100" bIns="19050" anchor="ctr" anchorCtr="0">
                  <a:spAutoFit/>
                </a:bodyPr>
                <a:lstStyle/>
                <a:p>
                  <a:pPr algn="l">
                    <a:defRPr sz="900">
                      <a:latin typeface="Arial" panose="020B0604020202020204" pitchFamily="34" charset="0"/>
                      <a:ea typeface="Open Sans Light" panose="020B0306030504020204" pitchFamily="34" charset="0"/>
                      <a:cs typeface="Arial" panose="020B0604020202020204" pitchFamily="34" charset="0"/>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11A7-4C61-A886-6006F71C7C33}"/>
                </c:ext>
              </c:extLst>
            </c:dLbl>
            <c:dLbl>
              <c:idx val="1"/>
              <c:layout>
                <c:manualLayout>
                  <c:x val="1.9137277179029976E-2"/>
                  <c:y val="-6.7807634995470392E-2"/>
                </c:manualLayout>
              </c:layout>
              <c:spPr>
                <a:noFill/>
                <a:ln>
                  <a:noFill/>
                </a:ln>
                <a:effectLst/>
              </c:spPr>
              <c:txPr>
                <a:bodyPr vertOverflow="clip" horzOverflow="clip" wrap="none" lIns="38100" tIns="19050" rIns="38100" bIns="19050" anchor="ctr" anchorCtr="0">
                  <a:spAutoFit/>
                </a:bodyPr>
                <a:lstStyle/>
                <a:p>
                  <a:pPr algn="l">
                    <a:defRPr sz="900">
                      <a:latin typeface="Arial" panose="020B0604020202020204" pitchFamily="34" charset="0"/>
                      <a:ea typeface="Open Sans Light" panose="020B0306030504020204" pitchFamily="34" charset="0"/>
                      <a:cs typeface="Arial" panose="020B0604020202020204" pitchFamily="34" charset="0"/>
                    </a:defRPr>
                  </a:pPr>
                  <a:endParaRPr lang="en-US"/>
                </a:p>
              </c:txP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1-11A7-4C61-A886-6006F71C7C33}"/>
                </c:ext>
              </c:extLst>
            </c:dLbl>
            <c:dLbl>
              <c:idx val="2"/>
              <c:layout>
                <c:manualLayout>
                  <c:x val="1.3026819748704328E-2"/>
                  <c:y val="-1.5037589533600872E-2"/>
                </c:manualLayout>
              </c:layout>
              <c:spPr>
                <a:noFill/>
                <a:ln>
                  <a:noFill/>
                </a:ln>
                <a:effectLst/>
              </c:spPr>
              <c:txPr>
                <a:bodyPr vertOverflow="clip" horzOverflow="clip" wrap="square" lIns="38100" tIns="19050" rIns="38100" bIns="19050" anchor="ctr" anchorCtr="0">
                  <a:spAutoFit/>
                </a:bodyPr>
                <a:lstStyle/>
                <a:p>
                  <a:pPr algn="l">
                    <a:defRPr sz="900">
                      <a:latin typeface="Arial" panose="020B0604020202020204" pitchFamily="34" charset="0"/>
                      <a:ea typeface="Open Sans Light" panose="020B0306030504020204" pitchFamily="34" charset="0"/>
                      <a:cs typeface="Arial" panose="020B0604020202020204" pitchFamily="34" charset="0"/>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1A7-4C61-A886-6006F71C7C33}"/>
                </c:ext>
              </c:extLst>
            </c:dLbl>
            <c:dLbl>
              <c:idx val="3"/>
              <c:layout>
                <c:manualLayout>
                  <c:x val="1.1579395332181518E-2"/>
                  <c:y val="-2.631578168380152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11A7-4C61-A886-6006F71C7C33}"/>
                </c:ext>
              </c:extLst>
            </c:dLbl>
            <c:dLbl>
              <c:idx val="4"/>
              <c:layout>
                <c:manualLayout>
                  <c:x val="1.158161418747738E-2"/>
                  <c:y val="-2.674156309700396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11A7-4C61-A886-6006F71C7C33}"/>
                </c:ext>
              </c:extLst>
            </c:dLbl>
            <c:spPr>
              <a:noFill/>
              <a:ln>
                <a:noFill/>
              </a:ln>
              <a:effectLst/>
            </c:spPr>
            <c:txPr>
              <a:bodyPr wrap="square" lIns="38100" tIns="19050" rIns="38100" bIns="19050" anchor="ctr" anchorCtr="0">
                <a:spAutoFit/>
              </a:bodyPr>
              <a:lstStyle/>
              <a:p>
                <a:pPr algn="l">
                  <a:defRPr sz="900">
                    <a:latin typeface="Open Sans Light" panose="020B0306030504020204" pitchFamily="34" charset="0"/>
                    <a:ea typeface="Open Sans Light" panose="020B0306030504020204" pitchFamily="34" charset="0"/>
                    <a:cs typeface="Open Sans Light" panose="020B0306030504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SUMEXPEN!$P$1472:$R$1472</c:f>
              <c:strCache>
                <c:ptCount val="3"/>
                <c:pt idx="0">
                  <c:v>2023-2024</c:v>
                </c:pt>
                <c:pt idx="1">
                  <c:v>2024-2025</c:v>
                </c:pt>
                <c:pt idx="2">
                  <c:v>2025-2026</c:v>
                </c:pt>
              </c:strCache>
            </c:strRef>
          </c:cat>
          <c:val>
            <c:numRef>
              <c:f>SUMEXPEN!$P$1473:$R$1473</c:f>
              <c:numCache>
                <c:formatCode>"$"#,##0_);\("$"#,##0\)</c:formatCode>
                <c:ptCount val="3"/>
                <c:pt idx="0">
                  <c:v>1020000</c:v>
                </c:pt>
                <c:pt idx="1">
                  <c:v>895000</c:v>
                </c:pt>
                <c:pt idx="2">
                  <c:v>765000</c:v>
                </c:pt>
              </c:numCache>
            </c:numRef>
          </c:val>
          <c:shape val="pyramid"/>
          <c:extLst>
            <c:ext xmlns:c16="http://schemas.microsoft.com/office/drawing/2014/chart" uri="{C3380CC4-5D6E-409C-BE32-E72D297353CC}">
              <c16:uniqueId val="{00000009-11A7-4C61-A886-6006F71C7C33}"/>
            </c:ext>
          </c:extLst>
        </c:ser>
        <c:dLbls>
          <c:showLegendKey val="0"/>
          <c:showVal val="1"/>
          <c:showCatName val="0"/>
          <c:showSerName val="0"/>
          <c:showPercent val="0"/>
          <c:showBubbleSize val="0"/>
        </c:dLbls>
        <c:gapWidth val="150"/>
        <c:shape val="box"/>
        <c:axId val="128185088"/>
        <c:axId val="128186624"/>
        <c:axId val="0"/>
      </c:bar3DChart>
      <c:catAx>
        <c:axId val="128185088"/>
        <c:scaling>
          <c:orientation val="minMax"/>
        </c:scaling>
        <c:delete val="0"/>
        <c:axPos val="b"/>
        <c:numFmt formatCode="General" sourceLinked="1"/>
        <c:majorTickMark val="none"/>
        <c:minorTickMark val="none"/>
        <c:tickLblPos val="nextTo"/>
        <c:spPr>
          <a:noFill/>
        </c:spPr>
        <c:txPr>
          <a:bodyPr rot="0" anchor="t" anchorCtr="0"/>
          <a:lstStyle/>
          <a:p>
            <a:pPr>
              <a:defRPr sz="900" b="0" baseline="0">
                <a:solidFill>
                  <a:sysClr val="windowText" lastClr="000000"/>
                </a:solidFill>
                <a:latin typeface="Arial" panose="020B0604020202020204" pitchFamily="34" charset="0"/>
                <a:ea typeface="Open Sans" panose="020B0606030504020204" pitchFamily="34" charset="0"/>
                <a:cs typeface="Arial" panose="020B0604020202020204" pitchFamily="34" charset="0"/>
              </a:defRPr>
            </a:pPr>
            <a:endParaRPr lang="en-US"/>
          </a:p>
        </c:txPr>
        <c:crossAx val="128186624"/>
        <c:crosses val="autoZero"/>
        <c:auto val="1"/>
        <c:lblAlgn val="ctr"/>
        <c:lblOffset val="100"/>
        <c:noMultiLvlLbl val="0"/>
      </c:catAx>
      <c:valAx>
        <c:axId val="128186624"/>
        <c:scaling>
          <c:orientation val="minMax"/>
        </c:scaling>
        <c:delete val="0"/>
        <c:axPos val="l"/>
        <c:majorGridlines>
          <c:spPr>
            <a:ln>
              <a:solidFill>
                <a:srgbClr val="53565A"/>
              </a:solidFill>
            </a:ln>
          </c:spPr>
        </c:majorGridlines>
        <c:numFmt formatCode="&quot;$&quot;#,##0_);\(&quot;$&quot;#,##0\)" sourceLinked="1"/>
        <c:majorTickMark val="none"/>
        <c:minorTickMark val="none"/>
        <c:tickLblPos val="nextTo"/>
        <c:spPr>
          <a:ln>
            <a:solidFill>
              <a:srgbClr val="53565A"/>
            </a:solidFill>
          </a:ln>
        </c:spPr>
        <c:txPr>
          <a:bodyPr/>
          <a:lstStyle/>
          <a:p>
            <a:pPr>
              <a:defRPr sz="900" baseline="0">
                <a:latin typeface="Arial" panose="020B0604020202020204" pitchFamily="34" charset="0"/>
                <a:ea typeface="Open Sans" panose="020B0606030504020204" pitchFamily="34" charset="0"/>
                <a:cs typeface="Arial" panose="020B0604020202020204" pitchFamily="34" charset="0"/>
              </a:defRPr>
            </a:pPr>
            <a:endParaRPr lang="en-US"/>
          </a:p>
        </c:txPr>
        <c:crossAx val="128185088"/>
        <c:crosses val="autoZero"/>
        <c:crossBetween val="between"/>
      </c:valAx>
      <c:spPr>
        <a:noFill/>
        <a:ln>
          <a:noFill/>
        </a:ln>
      </c:spPr>
    </c:plotArea>
    <c:plotVisOnly val="1"/>
    <c:dispBlanksAs val="gap"/>
    <c:showDLblsOverMax val="0"/>
  </c:chart>
  <c:spPr>
    <a:noFill/>
    <a:ln>
      <a:noFill/>
    </a:ln>
  </c:spPr>
  <c:printSettings>
    <c:headerFooter/>
    <c:pageMargins b="0.75" l="0.7" r="0.7" t="0.75" header="0.3" footer="0.3"/>
    <c:pageSetup orientation="portrait"/>
  </c:printSettings>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34"/>
    </mc:Choice>
    <mc:Fallback>
      <c:style val="34"/>
    </mc:Fallback>
  </mc:AlternateContent>
  <c:clrMapOvr bg1="lt1" tx1="dk1" bg2="lt2" tx2="dk2" accent1="accent1" accent2="accent2" accent3="accent3" accent4="accent4" accent5="accent5" accent6="accent6" hlink="hlink" folHlink="folHlink"/>
  <c:chart>
    <c:title>
      <c:tx>
        <c:rich>
          <a:bodyPr/>
          <a:lstStyle/>
          <a:p>
            <a:pPr>
              <a:defRPr sz="1400" b="0">
                <a:solidFill>
                  <a:srgbClr val="00B796"/>
                </a:solidFill>
                <a:latin typeface="Arial" panose="020B0604020202020204" pitchFamily="34" charset="0"/>
                <a:ea typeface="Open Sans" panose="020B0606030504020204" pitchFamily="34" charset="0"/>
                <a:cs typeface="Arial" panose="020B0604020202020204" pitchFamily="34" charset="0"/>
              </a:defRPr>
            </a:pPr>
            <a:r>
              <a:rPr lang="en-US">
                <a:latin typeface="Arial" panose="020B0604020202020204" pitchFamily="34" charset="0"/>
                <a:cs typeface="Arial" panose="020B0604020202020204" pitchFamily="34" charset="0"/>
              </a:rPr>
              <a:t>Average Salaries</a:t>
            </a:r>
          </a:p>
        </c:rich>
      </c:tx>
      <c:overlay val="0"/>
    </c:title>
    <c:autoTitleDeleted val="0"/>
    <c:view3D>
      <c:rotX val="15"/>
      <c:rotY val="20"/>
      <c:depthPercent val="100"/>
      <c:rAngAx val="1"/>
    </c:view3D>
    <c:floor>
      <c:thickness val="0"/>
      <c:spPr>
        <a:gradFill flip="none" rotWithShape="1">
          <a:gsLst>
            <a:gs pos="0">
              <a:srgbClr val="12284C">
                <a:lumMod val="5000"/>
                <a:lumOff val="95000"/>
              </a:srgbClr>
            </a:gs>
            <a:gs pos="74000">
              <a:srgbClr val="12284C">
                <a:lumMod val="45000"/>
                <a:lumOff val="55000"/>
              </a:srgbClr>
            </a:gs>
            <a:gs pos="83000">
              <a:srgbClr val="12284C">
                <a:lumMod val="45000"/>
                <a:lumOff val="55000"/>
              </a:srgbClr>
            </a:gs>
            <a:gs pos="100000">
              <a:srgbClr val="12284C">
                <a:lumMod val="30000"/>
                <a:lumOff val="70000"/>
              </a:srgbClr>
            </a:gs>
          </a:gsLst>
          <a:path path="circle">
            <a:fillToRect l="100000" t="100000"/>
          </a:path>
          <a:tileRect r="-100000" b="-100000"/>
        </a:gradFill>
        <a:ln>
          <a:solidFill>
            <a:srgbClr val="12284C"/>
          </a:solidFill>
        </a:ln>
      </c:spPr>
    </c:floor>
    <c:sideWall>
      <c:thickness val="0"/>
      <c:spPr>
        <a:gradFill flip="none" rotWithShape="1">
          <a:gsLst>
            <a:gs pos="0">
              <a:srgbClr val="12284C">
                <a:lumMod val="5000"/>
                <a:lumOff val="95000"/>
              </a:srgbClr>
            </a:gs>
            <a:gs pos="74000">
              <a:srgbClr val="12284C">
                <a:lumMod val="45000"/>
                <a:lumOff val="55000"/>
              </a:srgbClr>
            </a:gs>
            <a:gs pos="83000">
              <a:srgbClr val="12284C">
                <a:lumMod val="45000"/>
                <a:lumOff val="55000"/>
              </a:srgbClr>
            </a:gs>
            <a:gs pos="100000">
              <a:srgbClr val="12284C">
                <a:lumMod val="30000"/>
                <a:lumOff val="70000"/>
              </a:srgbClr>
            </a:gs>
          </a:gsLst>
          <a:path path="circle">
            <a:fillToRect l="100000" t="100000"/>
          </a:path>
          <a:tileRect r="-100000" b="-100000"/>
        </a:gradFill>
        <a:ln>
          <a:solidFill>
            <a:srgbClr val="12284C"/>
          </a:solidFill>
        </a:ln>
      </c:spPr>
    </c:sideWall>
    <c:backWall>
      <c:thickness val="0"/>
      <c:spPr>
        <a:gradFill flip="none" rotWithShape="1">
          <a:gsLst>
            <a:gs pos="0">
              <a:srgbClr val="12284C">
                <a:lumMod val="5000"/>
                <a:lumOff val="95000"/>
              </a:srgbClr>
            </a:gs>
            <a:gs pos="74000">
              <a:srgbClr val="12284C">
                <a:lumMod val="45000"/>
                <a:lumOff val="55000"/>
              </a:srgbClr>
            </a:gs>
            <a:gs pos="83000">
              <a:srgbClr val="12284C">
                <a:lumMod val="45000"/>
                <a:lumOff val="55000"/>
              </a:srgbClr>
            </a:gs>
            <a:gs pos="100000">
              <a:srgbClr val="12284C">
                <a:lumMod val="30000"/>
                <a:lumOff val="70000"/>
              </a:srgbClr>
            </a:gs>
          </a:gsLst>
          <a:path path="circle">
            <a:fillToRect l="100000" t="100000"/>
          </a:path>
          <a:tileRect r="-100000" b="-100000"/>
        </a:gradFill>
        <a:ln>
          <a:solidFill>
            <a:srgbClr val="12284C"/>
          </a:solidFill>
        </a:ln>
      </c:spPr>
    </c:backWall>
    <c:plotArea>
      <c:layout>
        <c:manualLayout>
          <c:layoutTarget val="inner"/>
          <c:xMode val="edge"/>
          <c:yMode val="edge"/>
          <c:x val="7.2835046345621199E-2"/>
          <c:y val="0.13407672863944212"/>
          <c:w val="0.82797458008469327"/>
          <c:h val="0.70230293659972143"/>
        </c:manualLayout>
      </c:layout>
      <c:bar3DChart>
        <c:barDir val="col"/>
        <c:grouping val="clustered"/>
        <c:varyColors val="0"/>
        <c:ser>
          <c:idx val="0"/>
          <c:order val="0"/>
          <c:tx>
            <c:strRef>
              <c:f>BAG!$L$658</c:f>
              <c:strCache>
                <c:ptCount val="1"/>
                <c:pt idx="0">
                  <c:v>2023-24 Actual</c:v>
                </c:pt>
              </c:strCache>
            </c:strRef>
          </c:tx>
          <c:spPr>
            <a:solidFill>
              <a:srgbClr val="FFA400"/>
            </a:solidFill>
            <a:ln>
              <a:solidFill>
                <a:srgbClr val="D28700"/>
              </a:solidFill>
            </a:ln>
          </c:spPr>
          <c:invertIfNegative val="0"/>
          <c:dLbls>
            <c:spPr>
              <a:noFill/>
              <a:ln>
                <a:noFill/>
              </a:ln>
              <a:effectLst/>
            </c:spPr>
            <c:txPr>
              <a:bodyPr rot="-5400000" vert="horz" wrap="square" lIns="38100" tIns="19050" rIns="38100" bIns="19050" anchor="ctr">
                <a:spAutoFit/>
              </a:bodyPr>
              <a:lstStyle/>
              <a:p>
                <a:pPr>
                  <a:defRPr sz="900">
                    <a:latin typeface="Arial" panose="020B0604020202020204" pitchFamily="34" charset="0"/>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BAG!$K$659:$K$662</c:f>
              <c:strCache>
                <c:ptCount val="4"/>
                <c:pt idx="0">
                  <c:v>Administrators (Licensed/Non-Licensed)</c:v>
                </c:pt>
                <c:pt idx="1">
                  <c:v>Teachers (Full Time)</c:v>
                </c:pt>
                <c:pt idx="2">
                  <c:v>Other Licensed Personnel</c:v>
                </c:pt>
                <c:pt idx="3">
                  <c:v>Classified Personnel</c:v>
                </c:pt>
              </c:strCache>
            </c:strRef>
          </c:cat>
          <c:val>
            <c:numRef>
              <c:f>BAG!$L$659:$L$662</c:f>
              <c:numCache>
                <c:formatCode>"$"#,##0</c:formatCode>
                <c:ptCount val="4"/>
                <c:pt idx="0">
                  <c:v>76905</c:v>
                </c:pt>
                <c:pt idx="1">
                  <c:v>58266</c:v>
                </c:pt>
                <c:pt idx="2">
                  <c:v>20873</c:v>
                </c:pt>
                <c:pt idx="3">
                  <c:v>25116</c:v>
                </c:pt>
              </c:numCache>
            </c:numRef>
          </c:val>
          <c:extLst>
            <c:ext xmlns:c16="http://schemas.microsoft.com/office/drawing/2014/chart" uri="{C3380CC4-5D6E-409C-BE32-E72D297353CC}">
              <c16:uniqueId val="{00000000-8DAC-45D7-BCE8-0361653F32FA}"/>
            </c:ext>
          </c:extLst>
        </c:ser>
        <c:ser>
          <c:idx val="1"/>
          <c:order val="1"/>
          <c:tx>
            <c:strRef>
              <c:f>BAG!$M$658</c:f>
              <c:strCache>
                <c:ptCount val="1"/>
                <c:pt idx="0">
                  <c:v>2024-25 Actual</c:v>
                </c:pt>
              </c:strCache>
            </c:strRef>
          </c:tx>
          <c:spPr>
            <a:solidFill>
              <a:srgbClr val="D50032"/>
            </a:solidFill>
            <a:ln>
              <a:solidFill>
                <a:srgbClr val="B7312C"/>
              </a:solidFill>
            </a:ln>
          </c:spPr>
          <c:invertIfNegative val="0"/>
          <c:dLbls>
            <c:spPr>
              <a:noFill/>
              <a:ln>
                <a:noFill/>
              </a:ln>
              <a:effectLst/>
            </c:spPr>
            <c:txPr>
              <a:bodyPr rot="-5400000" vert="horz" wrap="square" lIns="38100" tIns="19050" rIns="38100" bIns="19050" anchor="ctr">
                <a:spAutoFit/>
              </a:bodyPr>
              <a:lstStyle/>
              <a:p>
                <a:pPr>
                  <a:defRPr sz="900">
                    <a:latin typeface="Arial" panose="020B0604020202020204" pitchFamily="34" charset="0"/>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BAG!$K$659:$K$662</c:f>
              <c:strCache>
                <c:ptCount val="4"/>
                <c:pt idx="0">
                  <c:v>Administrators (Licensed/Non-Licensed)</c:v>
                </c:pt>
                <c:pt idx="1">
                  <c:v>Teachers (Full Time)</c:v>
                </c:pt>
                <c:pt idx="2">
                  <c:v>Other Licensed Personnel</c:v>
                </c:pt>
                <c:pt idx="3">
                  <c:v>Classified Personnel</c:v>
                </c:pt>
              </c:strCache>
            </c:strRef>
          </c:cat>
          <c:val>
            <c:numRef>
              <c:f>BAG!$M$659:$M$662</c:f>
              <c:numCache>
                <c:formatCode>"$"#,##0</c:formatCode>
                <c:ptCount val="4"/>
                <c:pt idx="0">
                  <c:v>74000</c:v>
                </c:pt>
                <c:pt idx="1">
                  <c:v>59265</c:v>
                </c:pt>
                <c:pt idx="2">
                  <c:v>26000</c:v>
                </c:pt>
                <c:pt idx="3">
                  <c:v>32411</c:v>
                </c:pt>
              </c:numCache>
            </c:numRef>
          </c:val>
          <c:extLst>
            <c:ext xmlns:c16="http://schemas.microsoft.com/office/drawing/2014/chart" uri="{C3380CC4-5D6E-409C-BE32-E72D297353CC}">
              <c16:uniqueId val="{00000001-8DAC-45D7-BCE8-0361653F32FA}"/>
            </c:ext>
          </c:extLst>
        </c:ser>
        <c:ser>
          <c:idx val="2"/>
          <c:order val="2"/>
          <c:tx>
            <c:strRef>
              <c:f>BAG!$N$658</c:f>
              <c:strCache>
                <c:ptCount val="1"/>
                <c:pt idx="0">
                  <c:v>2025-26 Contracted</c:v>
                </c:pt>
              </c:strCache>
            </c:strRef>
          </c:tx>
          <c:spPr>
            <a:solidFill>
              <a:srgbClr val="00B796"/>
            </a:solidFill>
            <a:ln>
              <a:solidFill>
                <a:srgbClr val="008269"/>
              </a:solidFill>
            </a:ln>
          </c:spPr>
          <c:invertIfNegative val="0"/>
          <c:dLbls>
            <c:dLbl>
              <c:idx val="0"/>
              <c:layout>
                <c:manualLayout>
                  <c:x val="3.7037698779965739E-3"/>
                  <c:y val="2.9239458119876848E-3"/>
                </c:manualLayout>
              </c:layout>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2-8DAC-45D7-BCE8-0361653F32FA}"/>
                </c:ext>
              </c:extLst>
            </c:dLbl>
            <c:dLbl>
              <c:idx val="1"/>
              <c:layout>
                <c:manualLayout>
                  <c:x val="3.843501944714554E-3"/>
                  <c:y val="2.1330480127978724E-3"/>
                </c:manualLayout>
              </c:layout>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3-8DAC-45D7-BCE8-0361653F32FA}"/>
                </c:ext>
              </c:extLst>
            </c:dLbl>
            <c:dLbl>
              <c:idx val="2"/>
              <c:layout>
                <c:manualLayout>
                  <c:x val="5.6487475897410164E-3"/>
                  <c:y val="-5.7825192695241242E-3"/>
                </c:manualLayout>
              </c:layout>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4-8DAC-45D7-BCE8-0361653F32FA}"/>
                </c:ext>
              </c:extLst>
            </c:dLbl>
            <c:dLbl>
              <c:idx val="3"/>
              <c:layout>
                <c:manualLayout>
                  <c:x val="3.7968411209221118E-3"/>
                  <c:y val="-8.9265161116074219E-3"/>
                </c:manualLayout>
              </c:layout>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5-8DAC-45D7-BCE8-0361653F32FA}"/>
                </c:ext>
              </c:extLst>
            </c:dLbl>
            <c:dLbl>
              <c:idx val="4"/>
              <c:layout>
                <c:manualLayout>
                  <c:x val="7.4853050888708927E-3"/>
                  <c:y val="2.0729899705447022E-3"/>
                </c:manualLayout>
              </c:layout>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6-8DAC-45D7-BCE8-0361653F32FA}"/>
                </c:ext>
              </c:extLst>
            </c:dLbl>
            <c:dLbl>
              <c:idx val="5"/>
              <c:layout>
                <c:manualLayout>
                  <c:x val="7.0417653226110587E-3"/>
                  <c:y val="1.1675166830514897E-4"/>
                </c:manualLayout>
              </c:layout>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7-8DAC-45D7-BCE8-0361653F32FA}"/>
                </c:ext>
              </c:extLst>
            </c:dLbl>
            <c:dLbl>
              <c:idx val="6"/>
              <c:layout>
                <c:manualLayout>
                  <c:x val="5.6487475897408794E-3"/>
                  <c:y val="-5.7825192695241242E-3"/>
                </c:manualLayout>
              </c:layout>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8-8DAC-45D7-BCE8-0361653F32FA}"/>
                </c:ext>
              </c:extLst>
            </c:dLbl>
            <c:dLbl>
              <c:idx val="7"/>
              <c:layout>
                <c:manualLayout>
                  <c:x val="-3.7037031636478327E-3"/>
                  <c:y val="-1.9649122807017545E-2"/>
                </c:manualLayout>
              </c:layout>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9-8DAC-45D7-BCE8-0361653F32FA}"/>
                </c:ext>
              </c:extLst>
            </c:dLbl>
            <c:dLbl>
              <c:idx val="8"/>
              <c:layout>
                <c:manualLayout>
                  <c:x val="-7.4074063272958008E-3"/>
                  <c:y val="-8.4210526315789472E-3"/>
                </c:manualLayout>
              </c:layout>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A-8DAC-45D7-BCE8-0361653F32FA}"/>
                </c:ext>
              </c:extLst>
            </c:dLbl>
            <c:spPr>
              <a:noFill/>
              <a:ln>
                <a:noFill/>
              </a:ln>
              <a:effectLst/>
            </c:spPr>
            <c:txPr>
              <a:bodyPr rot="-5400000" vert="horz" wrap="square" lIns="38100" tIns="19050" rIns="38100" bIns="19050" anchor="ctr">
                <a:spAutoFit/>
              </a:bodyPr>
              <a:lstStyle/>
              <a:p>
                <a:pPr>
                  <a:defRPr sz="900">
                    <a:latin typeface="Arial" panose="020B0604020202020204" pitchFamily="34" charset="0"/>
                    <a:cs typeface="Arial" panose="020B0604020202020204" pitchFamily="34" charset="0"/>
                  </a:defRPr>
                </a:pPr>
                <a:endParaRPr lang="en-US"/>
              </a:p>
            </c:txPr>
            <c:showLegendKey val="0"/>
            <c:showVal val="1"/>
            <c:showCatName val="0"/>
            <c:showSerName val="0"/>
            <c:showPercent val="0"/>
            <c:showBubbleSize val="0"/>
            <c:separator> </c:separator>
            <c:showLeaderLines val="0"/>
            <c:extLst>
              <c:ext xmlns:c15="http://schemas.microsoft.com/office/drawing/2012/chart" uri="{CE6537A1-D6FC-4f65-9D91-7224C49458BB}">
                <c15:showLeaderLines val="0"/>
              </c:ext>
            </c:extLst>
          </c:dLbls>
          <c:cat>
            <c:strRef>
              <c:f>BAG!$K$659:$K$662</c:f>
              <c:strCache>
                <c:ptCount val="4"/>
                <c:pt idx="0">
                  <c:v>Administrators (Licensed/Non-Licensed)</c:v>
                </c:pt>
                <c:pt idx="1">
                  <c:v>Teachers (Full Time)</c:v>
                </c:pt>
                <c:pt idx="2">
                  <c:v>Other Licensed Personnel</c:v>
                </c:pt>
                <c:pt idx="3">
                  <c:v>Classified Personnel</c:v>
                </c:pt>
              </c:strCache>
            </c:strRef>
          </c:cat>
          <c:val>
            <c:numRef>
              <c:f>BAG!$N$659:$N$662</c:f>
              <c:numCache>
                <c:formatCode>"$"#,##0</c:formatCode>
                <c:ptCount val="4"/>
                <c:pt idx="0">
                  <c:v>90000</c:v>
                </c:pt>
                <c:pt idx="1">
                  <c:v>57858</c:v>
                </c:pt>
                <c:pt idx="2">
                  <c:v>7200</c:v>
                </c:pt>
                <c:pt idx="3">
                  <c:v>29145</c:v>
                </c:pt>
              </c:numCache>
            </c:numRef>
          </c:val>
          <c:extLst>
            <c:ext xmlns:c16="http://schemas.microsoft.com/office/drawing/2014/chart" uri="{C3380CC4-5D6E-409C-BE32-E72D297353CC}">
              <c16:uniqueId val="{0000000B-8DAC-45D7-BCE8-0361653F32FA}"/>
            </c:ext>
          </c:extLst>
        </c:ser>
        <c:dLbls>
          <c:showLegendKey val="0"/>
          <c:showVal val="1"/>
          <c:showCatName val="0"/>
          <c:showSerName val="0"/>
          <c:showPercent val="0"/>
          <c:showBubbleSize val="0"/>
        </c:dLbls>
        <c:gapWidth val="150"/>
        <c:shape val="box"/>
        <c:axId val="128185088"/>
        <c:axId val="128186624"/>
        <c:axId val="0"/>
      </c:bar3DChart>
      <c:catAx>
        <c:axId val="128185088"/>
        <c:scaling>
          <c:orientation val="minMax"/>
        </c:scaling>
        <c:delete val="0"/>
        <c:axPos val="b"/>
        <c:numFmt formatCode="General" sourceLinked="1"/>
        <c:majorTickMark val="none"/>
        <c:minorTickMark val="none"/>
        <c:tickLblPos val="nextTo"/>
        <c:spPr>
          <a:noFill/>
        </c:spPr>
        <c:txPr>
          <a:bodyPr rot="0" anchor="t" anchorCtr="0"/>
          <a:lstStyle/>
          <a:p>
            <a:pPr>
              <a:defRPr sz="900" b="0" baseline="0">
                <a:solidFill>
                  <a:sysClr val="windowText" lastClr="000000"/>
                </a:solidFill>
                <a:latin typeface="Arial" panose="020B0604020202020204" pitchFamily="34" charset="0"/>
                <a:ea typeface="Open Sans" panose="020B0606030504020204" pitchFamily="34" charset="0"/>
                <a:cs typeface="Arial" panose="020B0604020202020204" pitchFamily="34" charset="0"/>
              </a:defRPr>
            </a:pPr>
            <a:endParaRPr lang="en-US"/>
          </a:p>
        </c:txPr>
        <c:crossAx val="128186624"/>
        <c:crosses val="autoZero"/>
        <c:auto val="1"/>
        <c:lblAlgn val="ctr"/>
        <c:lblOffset val="100"/>
        <c:noMultiLvlLbl val="0"/>
      </c:catAx>
      <c:valAx>
        <c:axId val="128186624"/>
        <c:scaling>
          <c:orientation val="minMax"/>
        </c:scaling>
        <c:delete val="0"/>
        <c:axPos val="l"/>
        <c:majorGridlines>
          <c:spPr>
            <a:ln>
              <a:solidFill>
                <a:srgbClr val="53565A"/>
              </a:solidFill>
            </a:ln>
          </c:spPr>
        </c:majorGridlines>
        <c:numFmt formatCode="&quot;$&quot;#,##0" sourceLinked="1"/>
        <c:majorTickMark val="none"/>
        <c:minorTickMark val="none"/>
        <c:tickLblPos val="nextTo"/>
        <c:spPr>
          <a:ln>
            <a:solidFill>
              <a:srgbClr val="53565A"/>
            </a:solidFill>
          </a:ln>
        </c:spPr>
        <c:txPr>
          <a:bodyPr/>
          <a:lstStyle/>
          <a:p>
            <a:pPr>
              <a:defRPr sz="900" baseline="0">
                <a:latin typeface="Arial" panose="020B0604020202020204" pitchFamily="34" charset="0"/>
                <a:ea typeface="Open Sans" panose="020B0606030504020204" pitchFamily="34" charset="0"/>
                <a:cs typeface="Arial" panose="020B0604020202020204" pitchFamily="34" charset="0"/>
              </a:defRPr>
            </a:pPr>
            <a:endParaRPr lang="en-US"/>
          </a:p>
        </c:txPr>
        <c:crossAx val="128185088"/>
        <c:crosses val="autoZero"/>
        <c:crossBetween val="between"/>
      </c:valAx>
      <c:spPr>
        <a:solidFill>
          <a:schemeClr val="bg1"/>
        </a:solidFill>
        <a:ln>
          <a:noFill/>
        </a:ln>
      </c:spPr>
    </c:plotArea>
    <c:legend>
      <c:legendPos val="b"/>
      <c:overlay val="0"/>
      <c:txPr>
        <a:bodyPr/>
        <a:lstStyle/>
        <a:p>
          <a:pPr>
            <a:defRPr sz="900" b="0">
              <a:solidFill>
                <a:sysClr val="windowText" lastClr="000000"/>
              </a:solidFill>
              <a:latin typeface="Arial" panose="020B0604020202020204" pitchFamily="34" charset="0"/>
              <a:ea typeface="Open Sans" panose="020B0606030504020204" pitchFamily="34" charset="0"/>
              <a:cs typeface="Arial" panose="020B0604020202020204" pitchFamily="34" charset="0"/>
            </a:defRPr>
          </a:pPr>
          <a:endParaRPr lang="en-US"/>
        </a:p>
      </c:txPr>
    </c:legend>
    <c:plotVisOnly val="1"/>
    <c:dispBlanksAs val="gap"/>
    <c:showDLblsOverMax val="0"/>
  </c:chart>
  <c:spPr>
    <a:noFill/>
    <a:ln>
      <a:noFill/>
    </a:ln>
  </c:spPr>
  <c:printSettings>
    <c:headerFooter/>
    <c:pageMargins b="0.75" l="0.7" r="0.7" t="0.75" header="0.3" footer="0.3"/>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34"/>
    </mc:Choice>
    <mc:Fallback>
      <c:style val="34"/>
    </mc:Fallback>
  </mc:AlternateContent>
  <c:clrMapOvr bg1="lt1" tx1="dk1" bg2="lt2" tx2="dk2" accent1="accent1" accent2="accent2" accent3="accent3" accent4="accent4" accent5="accent5" accent6="accent6" hlink="hlink" folHlink="folHlink"/>
  <c:chart>
    <c:title>
      <c:tx>
        <c:rich>
          <a:bodyPr/>
          <a:lstStyle/>
          <a:p>
            <a:pPr>
              <a:defRPr sz="1400" b="0">
                <a:solidFill>
                  <a:srgbClr val="005587"/>
                </a:solidFill>
                <a:latin typeface="Arial" panose="020B0604020202020204" pitchFamily="34" charset="0"/>
                <a:ea typeface="Open Sans" panose="020B0606030504020204" pitchFamily="34" charset="0"/>
                <a:cs typeface="Arial" panose="020B0604020202020204" pitchFamily="34" charset="0"/>
              </a:defRPr>
            </a:pPr>
            <a:r>
              <a:rPr lang="en-US">
                <a:solidFill>
                  <a:srgbClr val="B7312C"/>
                </a:solidFill>
                <a:latin typeface="Arial" panose="020B0604020202020204" pitchFamily="34" charset="0"/>
                <a:cs typeface="Arial" panose="020B0604020202020204" pitchFamily="34" charset="0"/>
              </a:rPr>
              <a:t>Total Expenditures By Function (All Funds)</a:t>
            </a:r>
          </a:p>
        </c:rich>
      </c:tx>
      <c:overlay val="0"/>
    </c:title>
    <c:autoTitleDeleted val="0"/>
    <c:view3D>
      <c:rotX val="15"/>
      <c:rotY val="20"/>
      <c:depthPercent val="100"/>
      <c:rAngAx val="1"/>
    </c:view3D>
    <c:floor>
      <c:thickness val="0"/>
      <c:spPr>
        <a:gradFill flip="none" rotWithShape="1">
          <a:gsLst>
            <a:gs pos="0">
              <a:srgbClr val="12284C">
                <a:lumMod val="5000"/>
                <a:lumOff val="95000"/>
              </a:srgbClr>
            </a:gs>
            <a:gs pos="74000">
              <a:srgbClr val="12284C">
                <a:lumMod val="45000"/>
                <a:lumOff val="55000"/>
              </a:srgbClr>
            </a:gs>
            <a:gs pos="83000">
              <a:srgbClr val="12284C">
                <a:lumMod val="45000"/>
                <a:lumOff val="55000"/>
              </a:srgbClr>
            </a:gs>
            <a:gs pos="100000">
              <a:srgbClr val="12284C">
                <a:lumMod val="30000"/>
                <a:lumOff val="70000"/>
              </a:srgbClr>
            </a:gs>
          </a:gsLst>
          <a:path path="circle">
            <a:fillToRect l="100000" t="100000"/>
          </a:path>
          <a:tileRect r="-100000" b="-100000"/>
        </a:gradFill>
        <a:ln>
          <a:solidFill>
            <a:srgbClr val="12284C"/>
          </a:solidFill>
        </a:ln>
      </c:spPr>
    </c:floor>
    <c:sideWall>
      <c:thickness val="0"/>
      <c:spPr>
        <a:gradFill flip="none" rotWithShape="1">
          <a:gsLst>
            <a:gs pos="0">
              <a:srgbClr val="12284C">
                <a:lumMod val="5000"/>
                <a:lumOff val="95000"/>
              </a:srgbClr>
            </a:gs>
            <a:gs pos="74000">
              <a:srgbClr val="12284C">
                <a:lumMod val="45000"/>
                <a:lumOff val="55000"/>
              </a:srgbClr>
            </a:gs>
            <a:gs pos="83000">
              <a:srgbClr val="12284C">
                <a:lumMod val="45000"/>
                <a:lumOff val="55000"/>
              </a:srgbClr>
            </a:gs>
            <a:gs pos="100000">
              <a:srgbClr val="12284C">
                <a:lumMod val="30000"/>
                <a:lumOff val="70000"/>
              </a:srgbClr>
            </a:gs>
          </a:gsLst>
          <a:path path="circle">
            <a:fillToRect l="100000" t="100000"/>
          </a:path>
          <a:tileRect r="-100000" b="-100000"/>
        </a:gradFill>
        <a:ln>
          <a:solidFill>
            <a:srgbClr val="12284C"/>
          </a:solidFill>
        </a:ln>
      </c:spPr>
    </c:sideWall>
    <c:backWall>
      <c:thickness val="0"/>
      <c:spPr>
        <a:gradFill flip="none" rotWithShape="1">
          <a:gsLst>
            <a:gs pos="0">
              <a:srgbClr val="12284C">
                <a:lumMod val="5000"/>
                <a:lumOff val="95000"/>
              </a:srgbClr>
            </a:gs>
            <a:gs pos="74000">
              <a:srgbClr val="12284C">
                <a:lumMod val="45000"/>
                <a:lumOff val="55000"/>
              </a:srgbClr>
            </a:gs>
            <a:gs pos="83000">
              <a:srgbClr val="12284C">
                <a:lumMod val="45000"/>
                <a:lumOff val="55000"/>
              </a:srgbClr>
            </a:gs>
            <a:gs pos="100000">
              <a:srgbClr val="12284C">
                <a:lumMod val="30000"/>
                <a:lumOff val="70000"/>
              </a:srgbClr>
            </a:gs>
          </a:gsLst>
          <a:path path="circle">
            <a:fillToRect l="100000" t="100000"/>
          </a:path>
          <a:tileRect r="-100000" b="-100000"/>
        </a:gradFill>
        <a:ln>
          <a:solidFill>
            <a:srgbClr val="12284C"/>
          </a:solidFill>
        </a:ln>
      </c:spPr>
    </c:backWall>
    <c:plotArea>
      <c:layout>
        <c:manualLayout>
          <c:layoutTarget val="inner"/>
          <c:xMode val="edge"/>
          <c:yMode val="edge"/>
          <c:x val="7.7286687005849619E-2"/>
          <c:y val="7.9467430911849518E-2"/>
          <c:w val="0.83110840233756422"/>
          <c:h val="0.74143675536537734"/>
        </c:manualLayout>
      </c:layout>
      <c:bar3DChart>
        <c:barDir val="col"/>
        <c:grouping val="clustered"/>
        <c:varyColors val="0"/>
        <c:ser>
          <c:idx val="0"/>
          <c:order val="0"/>
          <c:tx>
            <c:strRef>
              <c:f>Extra!$M$20</c:f>
              <c:strCache>
                <c:ptCount val="1"/>
                <c:pt idx="0">
                  <c:v>2023-2024</c:v>
                </c:pt>
              </c:strCache>
            </c:strRef>
          </c:tx>
          <c:spPr>
            <a:solidFill>
              <a:srgbClr val="FFA400"/>
            </a:solidFill>
            <a:ln>
              <a:solidFill>
                <a:srgbClr val="D28700"/>
              </a:solidFill>
            </a:ln>
          </c:spPr>
          <c:invertIfNegative val="0"/>
          <c:dLbls>
            <c:spPr>
              <a:noFill/>
              <a:ln>
                <a:noFill/>
              </a:ln>
              <a:effectLst/>
            </c:spPr>
            <c:txPr>
              <a:bodyPr rot="-5400000" vert="horz" wrap="square" lIns="38100" tIns="19050" rIns="38100" bIns="19050" anchor="ctr">
                <a:spAutoFit/>
              </a:bodyPr>
              <a:lstStyle/>
              <a:p>
                <a:pPr>
                  <a:defRPr sz="900">
                    <a:latin typeface="Arial" panose="020B0604020202020204" pitchFamily="34" charset="0"/>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Extra!$L$21:$L$31</c:f>
              <c:strCache>
                <c:ptCount val="11"/>
                <c:pt idx="0">
                  <c:v>Instruction</c:v>
                </c:pt>
                <c:pt idx="1">
                  <c:v>Student Support</c:v>
                </c:pt>
                <c:pt idx="2">
                  <c:v>Instructional Support</c:v>
                </c:pt>
                <c:pt idx="3">
                  <c:v>Administration &amp; Support</c:v>
                </c:pt>
                <c:pt idx="4">
                  <c:v>Operations &amp; Maintenance</c:v>
                </c:pt>
                <c:pt idx="5">
                  <c:v>Transportation</c:v>
                </c:pt>
                <c:pt idx="6">
                  <c:v>Food Services</c:v>
                </c:pt>
                <c:pt idx="7">
                  <c:v>Capital Improvements</c:v>
                </c:pt>
                <c:pt idx="8">
                  <c:v>Debt Services</c:v>
                </c:pt>
                <c:pt idx="9">
                  <c:v>Other Costs</c:v>
                </c:pt>
                <c:pt idx="10">
                  <c:v>Total Expenditures</c:v>
                </c:pt>
              </c:strCache>
            </c:strRef>
          </c:cat>
          <c:val>
            <c:numRef>
              <c:f>Extra!$M$21:$M$31</c:f>
              <c:numCache>
                <c:formatCode>"$"#,##0</c:formatCode>
                <c:ptCount val="11"/>
                <c:pt idx="0">
                  <c:v>938685</c:v>
                </c:pt>
                <c:pt idx="1">
                  <c:v>2063</c:v>
                </c:pt>
                <c:pt idx="2">
                  <c:v>1258</c:v>
                </c:pt>
                <c:pt idx="3">
                  <c:v>256195</c:v>
                </c:pt>
                <c:pt idx="4">
                  <c:v>397475</c:v>
                </c:pt>
                <c:pt idx="5">
                  <c:v>54953</c:v>
                </c:pt>
                <c:pt idx="6">
                  <c:v>122157</c:v>
                </c:pt>
                <c:pt idx="7">
                  <c:v>39926</c:v>
                </c:pt>
                <c:pt idx="8">
                  <c:v>153725</c:v>
                </c:pt>
                <c:pt idx="9">
                  <c:v>7174</c:v>
                </c:pt>
                <c:pt idx="10">
                  <c:v>1973611</c:v>
                </c:pt>
              </c:numCache>
            </c:numRef>
          </c:val>
          <c:extLst>
            <c:ext xmlns:c16="http://schemas.microsoft.com/office/drawing/2014/chart" uri="{C3380CC4-5D6E-409C-BE32-E72D297353CC}">
              <c16:uniqueId val="{00000000-03ED-42F9-B639-8C83BB0EB494}"/>
            </c:ext>
          </c:extLst>
        </c:ser>
        <c:ser>
          <c:idx val="1"/>
          <c:order val="1"/>
          <c:tx>
            <c:strRef>
              <c:f>Extra!$N$20</c:f>
              <c:strCache>
                <c:ptCount val="1"/>
                <c:pt idx="0">
                  <c:v>2024-2025</c:v>
                </c:pt>
              </c:strCache>
            </c:strRef>
          </c:tx>
          <c:spPr>
            <a:solidFill>
              <a:srgbClr val="D50032"/>
            </a:solidFill>
            <a:ln>
              <a:solidFill>
                <a:srgbClr val="B7312C"/>
              </a:solidFill>
            </a:ln>
          </c:spPr>
          <c:invertIfNegative val="0"/>
          <c:dLbls>
            <c:spPr>
              <a:noFill/>
              <a:ln>
                <a:noFill/>
              </a:ln>
              <a:effectLst/>
            </c:spPr>
            <c:txPr>
              <a:bodyPr rot="-5400000" vert="horz" wrap="square" lIns="38100" tIns="19050" rIns="38100" bIns="19050" anchor="ctr">
                <a:spAutoFit/>
              </a:bodyPr>
              <a:lstStyle/>
              <a:p>
                <a:pPr>
                  <a:defRPr sz="900">
                    <a:latin typeface="Arial" panose="020B0604020202020204" pitchFamily="34" charset="0"/>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Extra!$L$21:$L$31</c:f>
              <c:strCache>
                <c:ptCount val="11"/>
                <c:pt idx="0">
                  <c:v>Instruction</c:v>
                </c:pt>
                <c:pt idx="1">
                  <c:v>Student Support</c:v>
                </c:pt>
                <c:pt idx="2">
                  <c:v>Instructional Support</c:v>
                </c:pt>
                <c:pt idx="3">
                  <c:v>Administration &amp; Support</c:v>
                </c:pt>
                <c:pt idx="4">
                  <c:v>Operations &amp; Maintenance</c:v>
                </c:pt>
                <c:pt idx="5">
                  <c:v>Transportation</c:v>
                </c:pt>
                <c:pt idx="6">
                  <c:v>Food Services</c:v>
                </c:pt>
                <c:pt idx="7">
                  <c:v>Capital Improvements</c:v>
                </c:pt>
                <c:pt idx="8">
                  <c:v>Debt Services</c:v>
                </c:pt>
                <c:pt idx="9">
                  <c:v>Other Costs</c:v>
                </c:pt>
                <c:pt idx="10">
                  <c:v>Total Expenditures</c:v>
                </c:pt>
              </c:strCache>
            </c:strRef>
          </c:cat>
          <c:val>
            <c:numRef>
              <c:f>Extra!$N$21:$N$31</c:f>
              <c:numCache>
                <c:formatCode>"$"#,##0</c:formatCode>
                <c:ptCount val="11"/>
                <c:pt idx="0">
                  <c:v>1968697</c:v>
                </c:pt>
                <c:pt idx="1">
                  <c:v>267</c:v>
                </c:pt>
                <c:pt idx="2">
                  <c:v>240</c:v>
                </c:pt>
                <c:pt idx="3">
                  <c:v>263732</c:v>
                </c:pt>
                <c:pt idx="4">
                  <c:v>693565</c:v>
                </c:pt>
                <c:pt idx="5">
                  <c:v>58431</c:v>
                </c:pt>
                <c:pt idx="6">
                  <c:v>133439</c:v>
                </c:pt>
                <c:pt idx="7">
                  <c:v>0</c:v>
                </c:pt>
                <c:pt idx="8">
                  <c:v>154900</c:v>
                </c:pt>
                <c:pt idx="9">
                  <c:v>219</c:v>
                </c:pt>
                <c:pt idx="10">
                  <c:v>3273490</c:v>
                </c:pt>
              </c:numCache>
            </c:numRef>
          </c:val>
          <c:extLst>
            <c:ext xmlns:c16="http://schemas.microsoft.com/office/drawing/2014/chart" uri="{C3380CC4-5D6E-409C-BE32-E72D297353CC}">
              <c16:uniqueId val="{00000001-03ED-42F9-B639-8C83BB0EB494}"/>
            </c:ext>
          </c:extLst>
        </c:ser>
        <c:ser>
          <c:idx val="2"/>
          <c:order val="2"/>
          <c:tx>
            <c:strRef>
              <c:f>Extra!$O$20</c:f>
              <c:strCache>
                <c:ptCount val="1"/>
                <c:pt idx="0">
                  <c:v>2025-2026</c:v>
                </c:pt>
              </c:strCache>
            </c:strRef>
          </c:tx>
          <c:spPr>
            <a:solidFill>
              <a:srgbClr val="00B796"/>
            </a:solidFill>
            <a:ln>
              <a:solidFill>
                <a:srgbClr val="008269"/>
              </a:solidFill>
            </a:ln>
          </c:spPr>
          <c:invertIfNegative val="0"/>
          <c:dLbls>
            <c:dLbl>
              <c:idx val="0"/>
              <c:layout>
                <c:manualLayout>
                  <c:x val="3.7037698779965739E-3"/>
                  <c:y val="2.9239458119876848E-3"/>
                </c:manualLayout>
              </c:layout>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2-3542-4363-8AC6-8E590374E724}"/>
                </c:ext>
              </c:extLst>
            </c:dLbl>
            <c:dLbl>
              <c:idx val="1"/>
              <c:layout>
                <c:manualLayout>
                  <c:x val="3.843501944714554E-3"/>
                  <c:y val="2.1330480127978724E-3"/>
                </c:manualLayout>
              </c:layout>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0-A29D-4297-829F-F2A4BB1D8268}"/>
                </c:ext>
              </c:extLst>
            </c:dLbl>
            <c:dLbl>
              <c:idx val="2"/>
              <c:layout>
                <c:manualLayout>
                  <c:x val="5.6487475897410164E-3"/>
                  <c:y val="-5.7825192695241242E-3"/>
                </c:manualLayout>
              </c:layout>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1-A29D-4297-829F-F2A4BB1D8268}"/>
                </c:ext>
              </c:extLst>
            </c:dLbl>
            <c:dLbl>
              <c:idx val="3"/>
              <c:layout>
                <c:manualLayout>
                  <c:x val="3.7968411209221118E-3"/>
                  <c:y val="-8.9265161116074219E-3"/>
                </c:manualLayout>
              </c:layout>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2-A29D-4297-829F-F2A4BB1D8268}"/>
                </c:ext>
              </c:extLst>
            </c:dLbl>
            <c:dLbl>
              <c:idx val="4"/>
              <c:layout>
                <c:manualLayout>
                  <c:x val="7.4853050888708927E-3"/>
                  <c:y val="2.0729899705447022E-3"/>
                </c:manualLayout>
              </c:layout>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3-A29D-4297-829F-F2A4BB1D8268}"/>
                </c:ext>
              </c:extLst>
            </c:dLbl>
            <c:dLbl>
              <c:idx val="5"/>
              <c:layout>
                <c:manualLayout>
                  <c:x val="7.0417653226110587E-3"/>
                  <c:y val="1.1675166830514897E-4"/>
                </c:manualLayout>
              </c:layout>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4-A29D-4297-829F-F2A4BB1D8268}"/>
                </c:ext>
              </c:extLst>
            </c:dLbl>
            <c:dLbl>
              <c:idx val="6"/>
              <c:layout>
                <c:manualLayout>
                  <c:x val="5.6487475897408794E-3"/>
                  <c:y val="-5.7825192695241242E-3"/>
                </c:manualLayout>
              </c:layout>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5-A29D-4297-829F-F2A4BB1D8268}"/>
                </c:ext>
              </c:extLst>
            </c:dLbl>
            <c:dLbl>
              <c:idx val="7"/>
              <c:layout>
                <c:manualLayout>
                  <c:x val="4.5446863852043641E-3"/>
                  <c:y val="2.6606518298349256E-3"/>
                </c:manualLayout>
              </c:layout>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6-A29D-4297-829F-F2A4BB1D8268}"/>
                </c:ext>
              </c:extLst>
            </c:dLbl>
            <c:dLbl>
              <c:idx val="8"/>
              <c:layout>
                <c:manualLayout>
                  <c:x val="4.1404486960411853E-3"/>
                  <c:y val="-8.4211228983642836E-3"/>
                </c:manualLayout>
              </c:layout>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7-A29D-4297-829F-F2A4BB1D8268}"/>
                </c:ext>
              </c:extLst>
            </c:dLbl>
            <c:dLbl>
              <c:idx val="10"/>
              <c:layout>
                <c:manualLayout>
                  <c:x val="-1.9614172167220371E-16"/>
                  <c:y val="0"/>
                </c:manualLayout>
              </c:layout>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0-59DE-46B3-A3CC-AC54CAB2188D}"/>
                </c:ext>
              </c:extLst>
            </c:dLbl>
            <c:spPr>
              <a:noFill/>
              <a:ln>
                <a:noFill/>
              </a:ln>
              <a:effectLst/>
            </c:spPr>
            <c:txPr>
              <a:bodyPr rot="-5400000" vert="horz" wrap="square" lIns="38100" tIns="19050" rIns="38100" bIns="19050" anchor="ctr">
                <a:spAutoFit/>
              </a:bodyPr>
              <a:lstStyle/>
              <a:p>
                <a:pPr>
                  <a:defRPr sz="900">
                    <a:latin typeface="Arial" panose="020B0604020202020204" pitchFamily="34" charset="0"/>
                    <a:cs typeface="Arial" panose="020B0604020202020204" pitchFamily="34" charset="0"/>
                  </a:defRPr>
                </a:pPr>
                <a:endParaRPr lang="en-US"/>
              </a:p>
            </c:txPr>
            <c:showLegendKey val="0"/>
            <c:showVal val="1"/>
            <c:showCatName val="0"/>
            <c:showSerName val="0"/>
            <c:showPercent val="0"/>
            <c:showBubbleSize val="0"/>
            <c:separator> </c:separator>
            <c:showLeaderLines val="0"/>
            <c:extLst>
              <c:ext xmlns:c15="http://schemas.microsoft.com/office/drawing/2012/chart" uri="{CE6537A1-D6FC-4f65-9D91-7224C49458BB}">
                <c15:showLeaderLines val="0"/>
              </c:ext>
            </c:extLst>
          </c:dLbls>
          <c:cat>
            <c:strRef>
              <c:f>Extra!$L$21:$L$31</c:f>
              <c:strCache>
                <c:ptCount val="11"/>
                <c:pt idx="0">
                  <c:v>Instruction</c:v>
                </c:pt>
                <c:pt idx="1">
                  <c:v>Student Support</c:v>
                </c:pt>
                <c:pt idx="2">
                  <c:v>Instructional Support</c:v>
                </c:pt>
                <c:pt idx="3">
                  <c:v>Administration &amp; Support</c:v>
                </c:pt>
                <c:pt idx="4">
                  <c:v>Operations &amp; Maintenance</c:v>
                </c:pt>
                <c:pt idx="5">
                  <c:v>Transportation</c:v>
                </c:pt>
                <c:pt idx="6">
                  <c:v>Food Services</c:v>
                </c:pt>
                <c:pt idx="7">
                  <c:v>Capital Improvements</c:v>
                </c:pt>
                <c:pt idx="8">
                  <c:v>Debt Services</c:v>
                </c:pt>
                <c:pt idx="9">
                  <c:v>Other Costs</c:v>
                </c:pt>
                <c:pt idx="10">
                  <c:v>Total Expenditures</c:v>
                </c:pt>
              </c:strCache>
            </c:strRef>
          </c:cat>
          <c:val>
            <c:numRef>
              <c:f>Extra!$O$21:$O$31</c:f>
              <c:numCache>
                <c:formatCode>"$"#,##0</c:formatCode>
                <c:ptCount val="11"/>
                <c:pt idx="0">
                  <c:v>1412804</c:v>
                </c:pt>
                <c:pt idx="1">
                  <c:v>0</c:v>
                </c:pt>
                <c:pt idx="2">
                  <c:v>100</c:v>
                </c:pt>
                <c:pt idx="3">
                  <c:v>266917</c:v>
                </c:pt>
                <c:pt idx="4">
                  <c:v>624676</c:v>
                </c:pt>
                <c:pt idx="5">
                  <c:v>191507</c:v>
                </c:pt>
                <c:pt idx="6">
                  <c:v>129500</c:v>
                </c:pt>
                <c:pt idx="7">
                  <c:v>25000</c:v>
                </c:pt>
                <c:pt idx="8">
                  <c:v>154900</c:v>
                </c:pt>
                <c:pt idx="9">
                  <c:v>0</c:v>
                </c:pt>
                <c:pt idx="10">
                  <c:v>2805404</c:v>
                </c:pt>
              </c:numCache>
            </c:numRef>
          </c:val>
          <c:extLst>
            <c:ext xmlns:c16="http://schemas.microsoft.com/office/drawing/2014/chart" uri="{C3380CC4-5D6E-409C-BE32-E72D297353CC}">
              <c16:uniqueId val="{00000002-03ED-42F9-B639-8C83BB0EB494}"/>
            </c:ext>
          </c:extLst>
        </c:ser>
        <c:dLbls>
          <c:showLegendKey val="0"/>
          <c:showVal val="1"/>
          <c:showCatName val="0"/>
          <c:showSerName val="0"/>
          <c:showPercent val="0"/>
          <c:showBubbleSize val="0"/>
        </c:dLbls>
        <c:gapWidth val="150"/>
        <c:shape val="box"/>
        <c:axId val="128185088"/>
        <c:axId val="128186624"/>
        <c:axId val="0"/>
      </c:bar3DChart>
      <c:catAx>
        <c:axId val="128185088"/>
        <c:scaling>
          <c:orientation val="minMax"/>
        </c:scaling>
        <c:delete val="0"/>
        <c:axPos val="b"/>
        <c:numFmt formatCode="General" sourceLinked="1"/>
        <c:majorTickMark val="none"/>
        <c:minorTickMark val="none"/>
        <c:tickLblPos val="nextTo"/>
        <c:spPr>
          <a:noFill/>
        </c:spPr>
        <c:txPr>
          <a:bodyPr rot="-1980000" anchor="t" anchorCtr="0"/>
          <a:lstStyle/>
          <a:p>
            <a:pPr>
              <a:defRPr sz="900" b="0" baseline="0">
                <a:solidFill>
                  <a:sysClr val="windowText" lastClr="000000"/>
                </a:solidFill>
                <a:latin typeface="Arial" panose="020B0604020202020204" pitchFamily="34" charset="0"/>
                <a:ea typeface="Open Sans" panose="020B0606030504020204" pitchFamily="34" charset="0"/>
                <a:cs typeface="Arial" panose="020B0604020202020204" pitchFamily="34" charset="0"/>
              </a:defRPr>
            </a:pPr>
            <a:endParaRPr lang="en-US"/>
          </a:p>
        </c:txPr>
        <c:crossAx val="128186624"/>
        <c:crosses val="autoZero"/>
        <c:auto val="1"/>
        <c:lblAlgn val="ctr"/>
        <c:lblOffset val="100"/>
        <c:noMultiLvlLbl val="0"/>
      </c:catAx>
      <c:valAx>
        <c:axId val="128186624"/>
        <c:scaling>
          <c:orientation val="minMax"/>
        </c:scaling>
        <c:delete val="0"/>
        <c:axPos val="l"/>
        <c:majorGridlines>
          <c:spPr>
            <a:ln>
              <a:solidFill>
                <a:srgbClr val="53565A"/>
              </a:solidFill>
            </a:ln>
          </c:spPr>
        </c:majorGridlines>
        <c:numFmt formatCode="&quot;$&quot;#,##0" sourceLinked="1"/>
        <c:majorTickMark val="none"/>
        <c:minorTickMark val="none"/>
        <c:tickLblPos val="nextTo"/>
        <c:spPr>
          <a:ln>
            <a:solidFill>
              <a:srgbClr val="53565A"/>
            </a:solidFill>
          </a:ln>
        </c:spPr>
        <c:txPr>
          <a:bodyPr/>
          <a:lstStyle/>
          <a:p>
            <a:pPr>
              <a:defRPr sz="900" baseline="0">
                <a:latin typeface="Arial" panose="020B0604020202020204" pitchFamily="34" charset="0"/>
                <a:ea typeface="Open Sans" panose="020B0606030504020204" pitchFamily="34" charset="0"/>
                <a:cs typeface="Arial" panose="020B0604020202020204" pitchFamily="34" charset="0"/>
              </a:defRPr>
            </a:pPr>
            <a:endParaRPr lang="en-US"/>
          </a:p>
        </c:txPr>
        <c:crossAx val="128185088"/>
        <c:crosses val="autoZero"/>
        <c:crossBetween val="between"/>
      </c:valAx>
      <c:spPr>
        <a:solidFill>
          <a:schemeClr val="bg1"/>
        </a:solidFill>
        <a:ln>
          <a:noFill/>
        </a:ln>
      </c:spPr>
    </c:plotArea>
    <c:legend>
      <c:legendPos val="r"/>
      <c:layout>
        <c:manualLayout>
          <c:xMode val="edge"/>
          <c:yMode val="edge"/>
          <c:x val="0.87149852807860706"/>
          <c:y val="0.84115393772932301"/>
          <c:w val="0.12643611868948532"/>
          <c:h val="0.15791801766304422"/>
        </c:manualLayout>
      </c:layout>
      <c:overlay val="0"/>
      <c:txPr>
        <a:bodyPr/>
        <a:lstStyle/>
        <a:p>
          <a:pPr>
            <a:defRPr sz="900" b="0">
              <a:solidFill>
                <a:sysClr val="windowText" lastClr="000000"/>
              </a:solidFill>
              <a:latin typeface="Arial" panose="020B0604020202020204" pitchFamily="34" charset="0"/>
              <a:ea typeface="Open Sans" panose="020B0606030504020204" pitchFamily="34" charset="0"/>
              <a:cs typeface="Arial" panose="020B0604020202020204" pitchFamily="34" charset="0"/>
            </a:defRPr>
          </a:pPr>
          <a:endParaRPr lang="en-US"/>
        </a:p>
      </c:txPr>
    </c:legend>
    <c:plotVisOnly val="1"/>
    <c:dispBlanksAs val="gap"/>
    <c:showDLblsOverMax val="0"/>
  </c:chart>
  <c:spPr>
    <a:ln>
      <a:solidFill>
        <a:srgbClr val="53565A"/>
      </a:solidFill>
    </a:ln>
  </c:spPr>
  <c:printSettings>
    <c:headerFooter/>
    <c:pageMargins b="0.75" l="0.7" r="0.7" t="0.75" header="0.3" footer="0.3"/>
    <c:pageSetup/>
  </c:printSettings>
</c:chartSpace>
</file>

<file path=xl/charts/chart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34"/>
    </mc:Choice>
    <mc:Fallback>
      <c:style val="34"/>
    </mc:Fallback>
  </mc:AlternateContent>
  <c:clrMapOvr bg1="lt1" tx1="dk1" bg2="lt2" tx2="dk2" accent1="accent1" accent2="accent2" accent3="accent3" accent4="accent4" accent5="accent5" accent6="accent6" hlink="hlink" folHlink="folHlink"/>
  <c:chart>
    <c:title>
      <c:tx>
        <c:rich>
          <a:bodyPr/>
          <a:lstStyle/>
          <a:p>
            <a:pPr>
              <a:defRPr sz="1400" b="0">
                <a:solidFill>
                  <a:srgbClr val="005587"/>
                </a:solidFill>
                <a:latin typeface="Arial" panose="020B0604020202020204" pitchFamily="34" charset="0"/>
                <a:ea typeface="Open Sans" panose="020B0606030504020204" pitchFamily="34" charset="0"/>
                <a:cs typeface="Arial" panose="020B0604020202020204" pitchFamily="34" charset="0"/>
              </a:defRPr>
            </a:pPr>
            <a:r>
              <a:rPr lang="en-US">
                <a:solidFill>
                  <a:srgbClr val="B7312C"/>
                </a:solidFill>
                <a:latin typeface="Arial" panose="020B0604020202020204" pitchFamily="34" charset="0"/>
                <a:cs typeface="Arial" panose="020B0604020202020204" pitchFamily="34" charset="0"/>
              </a:rPr>
              <a:t>Total Expenditures Amount Per Pupil by Function (All Funds)</a:t>
            </a:r>
          </a:p>
        </c:rich>
      </c:tx>
      <c:overlay val="0"/>
    </c:title>
    <c:autoTitleDeleted val="0"/>
    <c:view3D>
      <c:rotX val="15"/>
      <c:rotY val="20"/>
      <c:depthPercent val="100"/>
      <c:rAngAx val="1"/>
    </c:view3D>
    <c:floor>
      <c:thickness val="0"/>
      <c:spPr>
        <a:gradFill flip="none" rotWithShape="1">
          <a:gsLst>
            <a:gs pos="0">
              <a:srgbClr val="12284C">
                <a:lumMod val="5000"/>
                <a:lumOff val="95000"/>
              </a:srgbClr>
            </a:gs>
            <a:gs pos="74000">
              <a:srgbClr val="12284C">
                <a:lumMod val="45000"/>
                <a:lumOff val="55000"/>
              </a:srgbClr>
            </a:gs>
            <a:gs pos="83000">
              <a:srgbClr val="12284C">
                <a:lumMod val="45000"/>
                <a:lumOff val="55000"/>
              </a:srgbClr>
            </a:gs>
            <a:gs pos="100000">
              <a:srgbClr val="12284C">
                <a:lumMod val="30000"/>
                <a:lumOff val="70000"/>
              </a:srgbClr>
            </a:gs>
          </a:gsLst>
          <a:path path="circle">
            <a:fillToRect l="100000" t="100000"/>
          </a:path>
          <a:tileRect r="-100000" b="-100000"/>
        </a:gradFill>
        <a:ln>
          <a:solidFill>
            <a:srgbClr val="12284C"/>
          </a:solidFill>
        </a:ln>
      </c:spPr>
    </c:floor>
    <c:sideWall>
      <c:thickness val="0"/>
      <c:spPr>
        <a:gradFill flip="none" rotWithShape="1">
          <a:gsLst>
            <a:gs pos="0">
              <a:srgbClr val="12284C">
                <a:lumMod val="5000"/>
                <a:lumOff val="95000"/>
              </a:srgbClr>
            </a:gs>
            <a:gs pos="74000">
              <a:srgbClr val="12284C">
                <a:lumMod val="45000"/>
                <a:lumOff val="55000"/>
              </a:srgbClr>
            </a:gs>
            <a:gs pos="83000">
              <a:srgbClr val="12284C">
                <a:lumMod val="45000"/>
                <a:lumOff val="55000"/>
              </a:srgbClr>
            </a:gs>
            <a:gs pos="100000">
              <a:srgbClr val="12284C">
                <a:lumMod val="30000"/>
                <a:lumOff val="70000"/>
              </a:srgbClr>
            </a:gs>
          </a:gsLst>
          <a:path path="circle">
            <a:fillToRect l="100000" t="100000"/>
          </a:path>
          <a:tileRect r="-100000" b="-100000"/>
        </a:gradFill>
        <a:ln>
          <a:solidFill>
            <a:srgbClr val="12284C"/>
          </a:solidFill>
        </a:ln>
      </c:spPr>
    </c:sideWall>
    <c:backWall>
      <c:thickness val="0"/>
      <c:spPr>
        <a:gradFill flip="none" rotWithShape="1">
          <a:gsLst>
            <a:gs pos="0">
              <a:srgbClr val="12284C">
                <a:lumMod val="5000"/>
                <a:lumOff val="95000"/>
              </a:srgbClr>
            </a:gs>
            <a:gs pos="74000">
              <a:srgbClr val="12284C">
                <a:lumMod val="45000"/>
                <a:lumOff val="55000"/>
              </a:srgbClr>
            </a:gs>
            <a:gs pos="83000">
              <a:srgbClr val="12284C">
                <a:lumMod val="45000"/>
                <a:lumOff val="55000"/>
              </a:srgbClr>
            </a:gs>
            <a:gs pos="100000">
              <a:srgbClr val="12284C">
                <a:lumMod val="30000"/>
                <a:lumOff val="70000"/>
              </a:srgbClr>
            </a:gs>
          </a:gsLst>
          <a:path path="circle">
            <a:fillToRect l="100000" t="100000"/>
          </a:path>
          <a:tileRect r="-100000" b="-100000"/>
        </a:gradFill>
        <a:ln>
          <a:solidFill>
            <a:srgbClr val="12284C"/>
          </a:solidFill>
        </a:ln>
      </c:spPr>
    </c:backWall>
    <c:plotArea>
      <c:layout>
        <c:manualLayout>
          <c:layoutTarget val="inner"/>
          <c:xMode val="edge"/>
          <c:yMode val="edge"/>
          <c:x val="7.7286687005849619E-2"/>
          <c:y val="9.5671796263200867E-2"/>
          <c:w val="0.83110840233756422"/>
          <c:h val="0.70230057403639412"/>
        </c:manualLayout>
      </c:layout>
      <c:bar3DChart>
        <c:barDir val="col"/>
        <c:grouping val="clustered"/>
        <c:varyColors val="0"/>
        <c:ser>
          <c:idx val="0"/>
          <c:order val="0"/>
          <c:tx>
            <c:strRef>
              <c:f>Extra!$M$64</c:f>
              <c:strCache>
                <c:ptCount val="1"/>
                <c:pt idx="0">
                  <c:v>2023-2024</c:v>
                </c:pt>
              </c:strCache>
            </c:strRef>
          </c:tx>
          <c:spPr>
            <a:solidFill>
              <a:srgbClr val="FFA400"/>
            </a:solidFill>
            <a:ln>
              <a:solidFill>
                <a:srgbClr val="D28700"/>
              </a:solidFill>
            </a:ln>
          </c:spPr>
          <c:invertIfNegative val="0"/>
          <c:dLbls>
            <c:spPr>
              <a:noFill/>
              <a:ln>
                <a:noFill/>
              </a:ln>
              <a:effectLst/>
            </c:spPr>
            <c:txPr>
              <a:bodyPr rot="-5400000" vert="horz" wrap="square" lIns="38100" tIns="19050" rIns="38100" bIns="19050" anchor="ctr">
                <a:spAutoFit/>
              </a:bodyPr>
              <a:lstStyle/>
              <a:p>
                <a:pPr>
                  <a:defRPr sz="900">
                    <a:latin typeface="Arial" panose="020B0604020202020204" pitchFamily="34" charset="0"/>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Extra!$L$65:$L$75</c:f>
              <c:strCache>
                <c:ptCount val="11"/>
                <c:pt idx="0">
                  <c:v>Instruction</c:v>
                </c:pt>
                <c:pt idx="1">
                  <c:v>Student Support</c:v>
                </c:pt>
                <c:pt idx="2">
                  <c:v>Instructional Support</c:v>
                </c:pt>
                <c:pt idx="3">
                  <c:v>Administration &amp; Support</c:v>
                </c:pt>
                <c:pt idx="4">
                  <c:v>Operations &amp; Maintenance</c:v>
                </c:pt>
                <c:pt idx="5">
                  <c:v>Transportation</c:v>
                </c:pt>
                <c:pt idx="6">
                  <c:v>Food Services</c:v>
                </c:pt>
                <c:pt idx="7">
                  <c:v>Capital Improvements</c:v>
                </c:pt>
                <c:pt idx="8">
                  <c:v>Debt Services</c:v>
                </c:pt>
                <c:pt idx="9">
                  <c:v>Other Costs</c:v>
                </c:pt>
                <c:pt idx="10">
                  <c:v>Total Expenditures</c:v>
                </c:pt>
              </c:strCache>
            </c:strRef>
          </c:cat>
          <c:val>
            <c:numRef>
              <c:f>Extra!$M$65:$M$75</c:f>
              <c:numCache>
                <c:formatCode>"$"#,##0</c:formatCode>
                <c:ptCount val="11"/>
                <c:pt idx="0">
                  <c:v>13277</c:v>
                </c:pt>
                <c:pt idx="1">
                  <c:v>29</c:v>
                </c:pt>
                <c:pt idx="2">
                  <c:v>18</c:v>
                </c:pt>
                <c:pt idx="3">
                  <c:v>3624</c:v>
                </c:pt>
                <c:pt idx="4">
                  <c:v>5622</c:v>
                </c:pt>
                <c:pt idx="5">
                  <c:v>777</c:v>
                </c:pt>
                <c:pt idx="6">
                  <c:v>1728</c:v>
                </c:pt>
                <c:pt idx="7">
                  <c:v>565</c:v>
                </c:pt>
                <c:pt idx="8">
                  <c:v>2174</c:v>
                </c:pt>
                <c:pt idx="9">
                  <c:v>101</c:v>
                </c:pt>
                <c:pt idx="10">
                  <c:v>27915</c:v>
                </c:pt>
              </c:numCache>
            </c:numRef>
          </c:val>
          <c:extLst>
            <c:ext xmlns:c16="http://schemas.microsoft.com/office/drawing/2014/chart" uri="{C3380CC4-5D6E-409C-BE32-E72D297353CC}">
              <c16:uniqueId val="{00000000-03ED-42F9-B639-8C83BB0EB494}"/>
            </c:ext>
          </c:extLst>
        </c:ser>
        <c:ser>
          <c:idx val="1"/>
          <c:order val="1"/>
          <c:tx>
            <c:strRef>
              <c:f>Extra!$N$64</c:f>
              <c:strCache>
                <c:ptCount val="1"/>
                <c:pt idx="0">
                  <c:v>2024-2025</c:v>
                </c:pt>
              </c:strCache>
            </c:strRef>
          </c:tx>
          <c:spPr>
            <a:solidFill>
              <a:srgbClr val="D50032"/>
            </a:solidFill>
            <a:ln>
              <a:solidFill>
                <a:srgbClr val="B7312C"/>
              </a:solidFill>
            </a:ln>
          </c:spPr>
          <c:invertIfNegative val="0"/>
          <c:dLbls>
            <c:spPr>
              <a:noFill/>
              <a:ln>
                <a:noFill/>
              </a:ln>
              <a:effectLst/>
            </c:spPr>
            <c:txPr>
              <a:bodyPr rot="-5400000" vert="horz" wrap="square" lIns="38100" tIns="19050" rIns="38100" bIns="19050" anchor="ctr">
                <a:spAutoFit/>
              </a:bodyPr>
              <a:lstStyle/>
              <a:p>
                <a:pPr>
                  <a:defRPr sz="900">
                    <a:latin typeface="Arial" panose="020B0604020202020204" pitchFamily="34" charset="0"/>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Extra!$L$65:$L$75</c:f>
              <c:strCache>
                <c:ptCount val="11"/>
                <c:pt idx="0">
                  <c:v>Instruction</c:v>
                </c:pt>
                <c:pt idx="1">
                  <c:v>Student Support</c:v>
                </c:pt>
                <c:pt idx="2">
                  <c:v>Instructional Support</c:v>
                </c:pt>
                <c:pt idx="3">
                  <c:v>Administration &amp; Support</c:v>
                </c:pt>
                <c:pt idx="4">
                  <c:v>Operations &amp; Maintenance</c:v>
                </c:pt>
                <c:pt idx="5">
                  <c:v>Transportation</c:v>
                </c:pt>
                <c:pt idx="6">
                  <c:v>Food Services</c:v>
                </c:pt>
                <c:pt idx="7">
                  <c:v>Capital Improvements</c:v>
                </c:pt>
                <c:pt idx="8">
                  <c:v>Debt Services</c:v>
                </c:pt>
                <c:pt idx="9">
                  <c:v>Other Costs</c:v>
                </c:pt>
                <c:pt idx="10">
                  <c:v>Total Expenditures</c:v>
                </c:pt>
              </c:strCache>
            </c:strRef>
          </c:cat>
          <c:val>
            <c:numRef>
              <c:f>Extra!$N$65:$N$75</c:f>
              <c:numCache>
                <c:formatCode>"$"#,##0</c:formatCode>
                <c:ptCount val="11"/>
                <c:pt idx="0">
                  <c:v>23863</c:v>
                </c:pt>
                <c:pt idx="1">
                  <c:v>3</c:v>
                </c:pt>
                <c:pt idx="2">
                  <c:v>3</c:v>
                </c:pt>
                <c:pt idx="3">
                  <c:v>3197</c:v>
                </c:pt>
                <c:pt idx="4">
                  <c:v>8407</c:v>
                </c:pt>
                <c:pt idx="5">
                  <c:v>708</c:v>
                </c:pt>
                <c:pt idx="6">
                  <c:v>1617</c:v>
                </c:pt>
                <c:pt idx="7">
                  <c:v>0</c:v>
                </c:pt>
                <c:pt idx="8">
                  <c:v>1878</c:v>
                </c:pt>
                <c:pt idx="9">
                  <c:v>3</c:v>
                </c:pt>
                <c:pt idx="10">
                  <c:v>39679</c:v>
                </c:pt>
              </c:numCache>
            </c:numRef>
          </c:val>
          <c:extLst>
            <c:ext xmlns:c16="http://schemas.microsoft.com/office/drawing/2014/chart" uri="{C3380CC4-5D6E-409C-BE32-E72D297353CC}">
              <c16:uniqueId val="{00000001-03ED-42F9-B639-8C83BB0EB494}"/>
            </c:ext>
          </c:extLst>
        </c:ser>
        <c:ser>
          <c:idx val="2"/>
          <c:order val="2"/>
          <c:tx>
            <c:strRef>
              <c:f>Extra!$O$64</c:f>
              <c:strCache>
                <c:ptCount val="1"/>
                <c:pt idx="0">
                  <c:v>2025-2026</c:v>
                </c:pt>
              </c:strCache>
            </c:strRef>
          </c:tx>
          <c:spPr>
            <a:solidFill>
              <a:srgbClr val="00B796"/>
            </a:solidFill>
            <a:ln>
              <a:solidFill>
                <a:srgbClr val="008269"/>
              </a:solidFill>
            </a:ln>
          </c:spPr>
          <c:invertIfNegative val="0"/>
          <c:dLbls>
            <c:dLbl>
              <c:idx val="0"/>
              <c:layout>
                <c:manualLayout>
                  <c:x val="3.7037698779965739E-3"/>
                  <c:y val="2.9239458119876848E-3"/>
                </c:manualLayout>
              </c:layout>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2-3542-4363-8AC6-8E590374E724}"/>
                </c:ext>
              </c:extLst>
            </c:dLbl>
            <c:dLbl>
              <c:idx val="1"/>
              <c:layout>
                <c:manualLayout>
                  <c:x val="3.843501944714554E-3"/>
                  <c:y val="2.1330480127978724E-3"/>
                </c:manualLayout>
              </c:layout>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0-A29D-4297-829F-F2A4BB1D8268}"/>
                </c:ext>
              </c:extLst>
            </c:dLbl>
            <c:dLbl>
              <c:idx val="2"/>
              <c:layout>
                <c:manualLayout>
                  <c:x val="5.6487475897410164E-3"/>
                  <c:y val="-5.7825192695241242E-3"/>
                </c:manualLayout>
              </c:layout>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1-A29D-4297-829F-F2A4BB1D8268}"/>
                </c:ext>
              </c:extLst>
            </c:dLbl>
            <c:dLbl>
              <c:idx val="3"/>
              <c:layout>
                <c:manualLayout>
                  <c:x val="3.7968411209221118E-3"/>
                  <c:y val="-8.9265161116074219E-3"/>
                </c:manualLayout>
              </c:layout>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2-A29D-4297-829F-F2A4BB1D8268}"/>
                </c:ext>
              </c:extLst>
            </c:dLbl>
            <c:dLbl>
              <c:idx val="4"/>
              <c:layout>
                <c:manualLayout>
                  <c:x val="7.4853050888708927E-3"/>
                  <c:y val="2.0729899705447022E-3"/>
                </c:manualLayout>
              </c:layout>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3-A29D-4297-829F-F2A4BB1D8268}"/>
                </c:ext>
              </c:extLst>
            </c:dLbl>
            <c:dLbl>
              <c:idx val="5"/>
              <c:layout>
                <c:manualLayout>
                  <c:x val="7.0417653226110587E-3"/>
                  <c:y val="1.1675166830514897E-4"/>
                </c:manualLayout>
              </c:layout>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4-A29D-4297-829F-F2A4BB1D8268}"/>
                </c:ext>
              </c:extLst>
            </c:dLbl>
            <c:dLbl>
              <c:idx val="6"/>
              <c:layout>
                <c:manualLayout>
                  <c:x val="5.6487475897408794E-3"/>
                  <c:y val="-5.7825192695241242E-3"/>
                </c:manualLayout>
              </c:layout>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5-A29D-4297-829F-F2A4BB1D8268}"/>
                </c:ext>
              </c:extLst>
            </c:dLbl>
            <c:dLbl>
              <c:idx val="7"/>
              <c:layout>
                <c:manualLayout>
                  <c:x val="4.5446863852043641E-3"/>
                  <c:y val="2.6606518298349256E-3"/>
                </c:manualLayout>
              </c:layout>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6-A29D-4297-829F-F2A4BB1D8268}"/>
                </c:ext>
              </c:extLst>
            </c:dLbl>
            <c:dLbl>
              <c:idx val="8"/>
              <c:layout>
                <c:manualLayout>
                  <c:x val="4.1404486960411853E-3"/>
                  <c:y val="-8.4211228983642836E-3"/>
                </c:manualLayout>
              </c:layout>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7-A29D-4297-829F-F2A4BB1D8268}"/>
                </c:ext>
              </c:extLst>
            </c:dLbl>
            <c:spPr>
              <a:noFill/>
              <a:ln>
                <a:noFill/>
              </a:ln>
              <a:effectLst/>
            </c:spPr>
            <c:txPr>
              <a:bodyPr rot="-5400000" vert="horz" wrap="square" lIns="38100" tIns="19050" rIns="38100" bIns="19050" anchor="ctr">
                <a:spAutoFit/>
              </a:bodyPr>
              <a:lstStyle/>
              <a:p>
                <a:pPr>
                  <a:defRPr sz="900">
                    <a:latin typeface="Arial" panose="020B0604020202020204" pitchFamily="34" charset="0"/>
                    <a:cs typeface="Arial" panose="020B0604020202020204" pitchFamily="34" charset="0"/>
                  </a:defRPr>
                </a:pPr>
                <a:endParaRPr lang="en-US"/>
              </a:p>
            </c:txPr>
            <c:showLegendKey val="0"/>
            <c:showVal val="1"/>
            <c:showCatName val="0"/>
            <c:showSerName val="0"/>
            <c:showPercent val="0"/>
            <c:showBubbleSize val="0"/>
            <c:separator> </c:separator>
            <c:showLeaderLines val="0"/>
            <c:extLst>
              <c:ext xmlns:c15="http://schemas.microsoft.com/office/drawing/2012/chart" uri="{CE6537A1-D6FC-4f65-9D91-7224C49458BB}">
                <c15:showLeaderLines val="0"/>
              </c:ext>
            </c:extLst>
          </c:dLbls>
          <c:cat>
            <c:strRef>
              <c:f>Extra!$L$65:$L$75</c:f>
              <c:strCache>
                <c:ptCount val="11"/>
                <c:pt idx="0">
                  <c:v>Instruction</c:v>
                </c:pt>
                <c:pt idx="1">
                  <c:v>Student Support</c:v>
                </c:pt>
                <c:pt idx="2">
                  <c:v>Instructional Support</c:v>
                </c:pt>
                <c:pt idx="3">
                  <c:v>Administration &amp; Support</c:v>
                </c:pt>
                <c:pt idx="4">
                  <c:v>Operations &amp; Maintenance</c:v>
                </c:pt>
                <c:pt idx="5">
                  <c:v>Transportation</c:v>
                </c:pt>
                <c:pt idx="6">
                  <c:v>Food Services</c:v>
                </c:pt>
                <c:pt idx="7">
                  <c:v>Capital Improvements</c:v>
                </c:pt>
                <c:pt idx="8">
                  <c:v>Debt Services</c:v>
                </c:pt>
                <c:pt idx="9">
                  <c:v>Other Costs</c:v>
                </c:pt>
                <c:pt idx="10">
                  <c:v>Total Expenditures</c:v>
                </c:pt>
              </c:strCache>
            </c:strRef>
          </c:cat>
          <c:val>
            <c:numRef>
              <c:f>Extra!$O$65:$O$75</c:f>
              <c:numCache>
                <c:formatCode>"$"#,##0</c:formatCode>
                <c:ptCount val="11"/>
                <c:pt idx="0">
                  <c:v>20183</c:v>
                </c:pt>
                <c:pt idx="1">
                  <c:v>0</c:v>
                </c:pt>
                <c:pt idx="2">
                  <c:v>1</c:v>
                </c:pt>
                <c:pt idx="3">
                  <c:v>3813</c:v>
                </c:pt>
                <c:pt idx="4">
                  <c:v>8924</c:v>
                </c:pt>
                <c:pt idx="5">
                  <c:v>2736</c:v>
                </c:pt>
                <c:pt idx="6">
                  <c:v>1850</c:v>
                </c:pt>
                <c:pt idx="7">
                  <c:v>357</c:v>
                </c:pt>
                <c:pt idx="8">
                  <c:v>2213</c:v>
                </c:pt>
                <c:pt idx="9">
                  <c:v>0</c:v>
                </c:pt>
                <c:pt idx="10">
                  <c:v>40077</c:v>
                </c:pt>
              </c:numCache>
            </c:numRef>
          </c:val>
          <c:extLst>
            <c:ext xmlns:c16="http://schemas.microsoft.com/office/drawing/2014/chart" uri="{C3380CC4-5D6E-409C-BE32-E72D297353CC}">
              <c16:uniqueId val="{00000002-03ED-42F9-B639-8C83BB0EB494}"/>
            </c:ext>
          </c:extLst>
        </c:ser>
        <c:dLbls>
          <c:showLegendKey val="0"/>
          <c:showVal val="1"/>
          <c:showCatName val="0"/>
          <c:showSerName val="0"/>
          <c:showPercent val="0"/>
          <c:showBubbleSize val="0"/>
        </c:dLbls>
        <c:gapWidth val="150"/>
        <c:shape val="box"/>
        <c:axId val="128185088"/>
        <c:axId val="128186624"/>
        <c:axId val="0"/>
      </c:bar3DChart>
      <c:catAx>
        <c:axId val="128185088"/>
        <c:scaling>
          <c:orientation val="minMax"/>
        </c:scaling>
        <c:delete val="0"/>
        <c:axPos val="b"/>
        <c:numFmt formatCode="General" sourceLinked="1"/>
        <c:majorTickMark val="none"/>
        <c:minorTickMark val="none"/>
        <c:tickLblPos val="nextTo"/>
        <c:spPr>
          <a:noFill/>
        </c:spPr>
        <c:txPr>
          <a:bodyPr rot="-1320000" anchor="t" anchorCtr="0"/>
          <a:lstStyle/>
          <a:p>
            <a:pPr>
              <a:defRPr sz="900" b="0" baseline="0">
                <a:solidFill>
                  <a:sysClr val="windowText" lastClr="000000"/>
                </a:solidFill>
                <a:latin typeface="Arial" panose="020B0604020202020204" pitchFamily="34" charset="0"/>
                <a:ea typeface="Open Sans" panose="020B0606030504020204" pitchFamily="34" charset="0"/>
                <a:cs typeface="Arial" panose="020B0604020202020204" pitchFamily="34" charset="0"/>
              </a:defRPr>
            </a:pPr>
            <a:endParaRPr lang="en-US"/>
          </a:p>
        </c:txPr>
        <c:crossAx val="128186624"/>
        <c:crosses val="autoZero"/>
        <c:auto val="1"/>
        <c:lblAlgn val="ctr"/>
        <c:lblOffset val="100"/>
        <c:noMultiLvlLbl val="0"/>
      </c:catAx>
      <c:valAx>
        <c:axId val="128186624"/>
        <c:scaling>
          <c:orientation val="minMax"/>
        </c:scaling>
        <c:delete val="0"/>
        <c:axPos val="l"/>
        <c:majorGridlines>
          <c:spPr>
            <a:ln>
              <a:solidFill>
                <a:srgbClr val="53565A"/>
              </a:solidFill>
            </a:ln>
          </c:spPr>
        </c:majorGridlines>
        <c:numFmt formatCode="&quot;$&quot;#,##0" sourceLinked="1"/>
        <c:majorTickMark val="none"/>
        <c:minorTickMark val="none"/>
        <c:tickLblPos val="nextTo"/>
        <c:spPr>
          <a:ln>
            <a:solidFill>
              <a:srgbClr val="53565A"/>
            </a:solidFill>
          </a:ln>
        </c:spPr>
        <c:txPr>
          <a:bodyPr/>
          <a:lstStyle/>
          <a:p>
            <a:pPr>
              <a:defRPr sz="900" baseline="0">
                <a:latin typeface="Arial" panose="020B0604020202020204" pitchFamily="34" charset="0"/>
                <a:ea typeface="Open Sans" panose="020B0606030504020204" pitchFamily="34" charset="0"/>
                <a:cs typeface="Arial" panose="020B0604020202020204" pitchFamily="34" charset="0"/>
              </a:defRPr>
            </a:pPr>
            <a:endParaRPr lang="en-US"/>
          </a:p>
        </c:txPr>
        <c:crossAx val="128185088"/>
        <c:crosses val="autoZero"/>
        <c:crossBetween val="between"/>
      </c:valAx>
      <c:spPr>
        <a:solidFill>
          <a:schemeClr val="bg1"/>
        </a:solidFill>
        <a:ln>
          <a:noFill/>
        </a:ln>
      </c:spPr>
    </c:plotArea>
    <c:legend>
      <c:legendPos val="r"/>
      <c:layout>
        <c:manualLayout>
          <c:xMode val="edge"/>
          <c:yMode val="edge"/>
          <c:x val="0.87149852807860706"/>
          <c:y val="0.84115393772932301"/>
          <c:w val="0.12643611868948532"/>
          <c:h val="0.15791801766304422"/>
        </c:manualLayout>
      </c:layout>
      <c:overlay val="0"/>
      <c:txPr>
        <a:bodyPr/>
        <a:lstStyle/>
        <a:p>
          <a:pPr>
            <a:defRPr sz="900" b="0">
              <a:solidFill>
                <a:sysClr val="windowText" lastClr="000000"/>
              </a:solidFill>
              <a:latin typeface="Arial" panose="020B0604020202020204" pitchFamily="34" charset="0"/>
              <a:ea typeface="Open Sans" panose="020B0606030504020204" pitchFamily="34" charset="0"/>
              <a:cs typeface="Arial" panose="020B0604020202020204" pitchFamily="34" charset="0"/>
            </a:defRPr>
          </a:pPr>
          <a:endParaRPr lang="en-US"/>
        </a:p>
      </c:txPr>
    </c:legend>
    <c:plotVisOnly val="1"/>
    <c:dispBlanksAs val="gap"/>
    <c:showDLblsOverMax val="0"/>
  </c:chart>
  <c:spPr>
    <a:ln>
      <a:solidFill>
        <a:srgbClr val="53565A"/>
      </a:solidFill>
    </a:ln>
  </c:spPr>
  <c:printSettings>
    <c:headerFooter/>
    <c:pageMargins b="0.75" l="0.7" r="0.7" t="0.75" header="0.3" footer="0.3"/>
    <c:pageSetup orientation="portrait"/>
  </c:printSettings>
</c:chartSpace>
</file>

<file path=xl/charts/chart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34"/>
    </mc:Choice>
    <mc:Fallback>
      <c:style val="34"/>
    </mc:Fallback>
  </mc:AlternateContent>
  <c:clrMapOvr bg1="lt1" tx1="dk1" bg2="lt2" tx2="dk2" accent1="accent1" accent2="accent2" accent3="accent3" accent4="accent4" accent5="accent5" accent6="accent6" hlink="hlink" folHlink="folHlink"/>
  <c:chart>
    <c:title>
      <c:tx>
        <c:rich>
          <a:bodyPr/>
          <a:lstStyle/>
          <a:p>
            <a:pPr>
              <a:defRPr sz="1400" b="0">
                <a:solidFill>
                  <a:srgbClr val="00B796"/>
                </a:solidFill>
                <a:latin typeface="Arial" panose="020B0604020202020204" pitchFamily="34" charset="0"/>
                <a:ea typeface="Open Sans" panose="020B0606030504020204" pitchFamily="34" charset="0"/>
                <a:cs typeface="Arial" panose="020B0604020202020204" pitchFamily="34" charset="0"/>
              </a:defRPr>
            </a:pPr>
            <a:r>
              <a:rPr lang="en-US">
                <a:latin typeface="Arial" panose="020B0604020202020204" pitchFamily="34" charset="0"/>
                <a:cs typeface="Arial" panose="020B0604020202020204" pitchFamily="34" charset="0"/>
              </a:rPr>
              <a:t>Average Salaries</a:t>
            </a:r>
          </a:p>
        </c:rich>
      </c:tx>
      <c:overlay val="0"/>
    </c:title>
    <c:autoTitleDeleted val="0"/>
    <c:view3D>
      <c:rotX val="15"/>
      <c:rotY val="20"/>
      <c:depthPercent val="100"/>
      <c:rAngAx val="1"/>
    </c:view3D>
    <c:floor>
      <c:thickness val="0"/>
      <c:spPr>
        <a:gradFill flip="none" rotWithShape="1">
          <a:gsLst>
            <a:gs pos="0">
              <a:srgbClr val="12284C">
                <a:lumMod val="5000"/>
                <a:lumOff val="95000"/>
              </a:srgbClr>
            </a:gs>
            <a:gs pos="74000">
              <a:srgbClr val="12284C">
                <a:lumMod val="45000"/>
                <a:lumOff val="55000"/>
              </a:srgbClr>
            </a:gs>
            <a:gs pos="83000">
              <a:srgbClr val="12284C">
                <a:lumMod val="45000"/>
                <a:lumOff val="55000"/>
              </a:srgbClr>
            </a:gs>
            <a:gs pos="100000">
              <a:srgbClr val="12284C">
                <a:lumMod val="30000"/>
                <a:lumOff val="70000"/>
              </a:srgbClr>
            </a:gs>
          </a:gsLst>
          <a:path path="circle">
            <a:fillToRect l="100000" t="100000"/>
          </a:path>
          <a:tileRect r="-100000" b="-100000"/>
        </a:gradFill>
        <a:ln>
          <a:solidFill>
            <a:srgbClr val="12284C"/>
          </a:solidFill>
        </a:ln>
      </c:spPr>
    </c:floor>
    <c:sideWall>
      <c:thickness val="0"/>
      <c:spPr>
        <a:gradFill flip="none" rotWithShape="1">
          <a:gsLst>
            <a:gs pos="0">
              <a:srgbClr val="12284C">
                <a:lumMod val="5000"/>
                <a:lumOff val="95000"/>
              </a:srgbClr>
            </a:gs>
            <a:gs pos="74000">
              <a:srgbClr val="12284C">
                <a:lumMod val="45000"/>
                <a:lumOff val="55000"/>
              </a:srgbClr>
            </a:gs>
            <a:gs pos="83000">
              <a:srgbClr val="12284C">
                <a:lumMod val="45000"/>
                <a:lumOff val="55000"/>
              </a:srgbClr>
            </a:gs>
            <a:gs pos="100000">
              <a:srgbClr val="12284C">
                <a:lumMod val="30000"/>
                <a:lumOff val="70000"/>
              </a:srgbClr>
            </a:gs>
          </a:gsLst>
          <a:path path="circle">
            <a:fillToRect l="100000" t="100000"/>
          </a:path>
          <a:tileRect r="-100000" b="-100000"/>
        </a:gradFill>
        <a:ln>
          <a:solidFill>
            <a:srgbClr val="12284C"/>
          </a:solidFill>
        </a:ln>
      </c:spPr>
    </c:sideWall>
    <c:backWall>
      <c:thickness val="0"/>
      <c:spPr>
        <a:gradFill flip="none" rotWithShape="1">
          <a:gsLst>
            <a:gs pos="0">
              <a:srgbClr val="12284C">
                <a:lumMod val="5000"/>
                <a:lumOff val="95000"/>
              </a:srgbClr>
            </a:gs>
            <a:gs pos="74000">
              <a:srgbClr val="12284C">
                <a:lumMod val="45000"/>
                <a:lumOff val="55000"/>
              </a:srgbClr>
            </a:gs>
            <a:gs pos="83000">
              <a:srgbClr val="12284C">
                <a:lumMod val="45000"/>
                <a:lumOff val="55000"/>
              </a:srgbClr>
            </a:gs>
            <a:gs pos="100000">
              <a:srgbClr val="12284C">
                <a:lumMod val="30000"/>
                <a:lumOff val="70000"/>
              </a:srgbClr>
            </a:gs>
          </a:gsLst>
          <a:path path="circle">
            <a:fillToRect l="100000" t="100000"/>
          </a:path>
          <a:tileRect r="-100000" b="-100000"/>
        </a:gradFill>
        <a:ln>
          <a:solidFill>
            <a:srgbClr val="12284C"/>
          </a:solidFill>
        </a:ln>
      </c:spPr>
    </c:backWall>
    <c:plotArea>
      <c:layout>
        <c:manualLayout>
          <c:layoutTarget val="inner"/>
          <c:xMode val="edge"/>
          <c:yMode val="edge"/>
          <c:x val="7.2835046345621199E-2"/>
          <c:y val="0.13407672863944212"/>
          <c:w val="0.82797458008469327"/>
          <c:h val="0.70230293659972143"/>
        </c:manualLayout>
      </c:layout>
      <c:bar3DChart>
        <c:barDir val="col"/>
        <c:grouping val="clustered"/>
        <c:varyColors val="0"/>
        <c:ser>
          <c:idx val="0"/>
          <c:order val="0"/>
          <c:tx>
            <c:strRef>
              <c:f>Extra!$M$103</c:f>
              <c:strCache>
                <c:ptCount val="1"/>
                <c:pt idx="0">
                  <c:v>2023-24 Actual</c:v>
                </c:pt>
              </c:strCache>
            </c:strRef>
          </c:tx>
          <c:spPr>
            <a:solidFill>
              <a:srgbClr val="FFA400"/>
            </a:solidFill>
            <a:ln>
              <a:solidFill>
                <a:srgbClr val="D28700"/>
              </a:solidFill>
            </a:ln>
          </c:spPr>
          <c:invertIfNegative val="0"/>
          <c:dLbls>
            <c:spPr>
              <a:noFill/>
              <a:ln>
                <a:noFill/>
              </a:ln>
              <a:effectLst/>
            </c:spPr>
            <c:txPr>
              <a:bodyPr rot="-5400000" vert="horz" wrap="square" lIns="38100" tIns="19050" rIns="38100" bIns="19050" anchor="ctr">
                <a:spAutoFit/>
              </a:bodyPr>
              <a:lstStyle/>
              <a:p>
                <a:pPr>
                  <a:defRPr sz="900">
                    <a:latin typeface="Arial" panose="020B0604020202020204" pitchFamily="34" charset="0"/>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Extra!$L$104:$L$107</c:f>
              <c:strCache>
                <c:ptCount val="4"/>
                <c:pt idx="0">
                  <c:v>Administrators (Licensed/Non-Licensed)</c:v>
                </c:pt>
                <c:pt idx="1">
                  <c:v>Teachers (Full Time)</c:v>
                </c:pt>
                <c:pt idx="2">
                  <c:v>Other Licensed Personnel</c:v>
                </c:pt>
                <c:pt idx="3">
                  <c:v>Classified Personnel</c:v>
                </c:pt>
              </c:strCache>
            </c:strRef>
          </c:cat>
          <c:val>
            <c:numRef>
              <c:f>Extra!$M$104:$M$107</c:f>
              <c:numCache>
                <c:formatCode>"$"#,##0</c:formatCode>
                <c:ptCount val="4"/>
                <c:pt idx="0">
                  <c:v>76905</c:v>
                </c:pt>
                <c:pt idx="1">
                  <c:v>58266</c:v>
                </c:pt>
                <c:pt idx="2">
                  <c:v>20873</c:v>
                </c:pt>
                <c:pt idx="3">
                  <c:v>25116</c:v>
                </c:pt>
              </c:numCache>
            </c:numRef>
          </c:val>
          <c:extLst>
            <c:ext xmlns:c16="http://schemas.microsoft.com/office/drawing/2014/chart" uri="{C3380CC4-5D6E-409C-BE32-E72D297353CC}">
              <c16:uniqueId val="{00000000-03ED-42F9-B639-8C83BB0EB494}"/>
            </c:ext>
          </c:extLst>
        </c:ser>
        <c:ser>
          <c:idx val="1"/>
          <c:order val="1"/>
          <c:tx>
            <c:strRef>
              <c:f>Extra!$N$103</c:f>
              <c:strCache>
                <c:ptCount val="1"/>
                <c:pt idx="0">
                  <c:v>2024-25 Actual</c:v>
                </c:pt>
              </c:strCache>
            </c:strRef>
          </c:tx>
          <c:spPr>
            <a:solidFill>
              <a:srgbClr val="D50032"/>
            </a:solidFill>
            <a:ln>
              <a:solidFill>
                <a:srgbClr val="B7312C"/>
              </a:solidFill>
            </a:ln>
          </c:spPr>
          <c:invertIfNegative val="0"/>
          <c:dLbls>
            <c:spPr>
              <a:noFill/>
              <a:ln>
                <a:noFill/>
              </a:ln>
              <a:effectLst/>
            </c:spPr>
            <c:txPr>
              <a:bodyPr rot="-5400000" vert="horz" wrap="square" lIns="38100" tIns="19050" rIns="38100" bIns="19050" anchor="ctr">
                <a:spAutoFit/>
              </a:bodyPr>
              <a:lstStyle/>
              <a:p>
                <a:pPr>
                  <a:defRPr sz="900">
                    <a:latin typeface="Arial" panose="020B0604020202020204" pitchFamily="34" charset="0"/>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Extra!$L$104:$L$107</c:f>
              <c:strCache>
                <c:ptCount val="4"/>
                <c:pt idx="0">
                  <c:v>Administrators (Licensed/Non-Licensed)</c:v>
                </c:pt>
                <c:pt idx="1">
                  <c:v>Teachers (Full Time)</c:v>
                </c:pt>
                <c:pt idx="2">
                  <c:v>Other Licensed Personnel</c:v>
                </c:pt>
                <c:pt idx="3">
                  <c:v>Classified Personnel</c:v>
                </c:pt>
              </c:strCache>
            </c:strRef>
          </c:cat>
          <c:val>
            <c:numRef>
              <c:f>Extra!$N$104:$N$107</c:f>
              <c:numCache>
                <c:formatCode>"$"#,##0</c:formatCode>
                <c:ptCount val="4"/>
                <c:pt idx="0">
                  <c:v>74000</c:v>
                </c:pt>
                <c:pt idx="1">
                  <c:v>59265</c:v>
                </c:pt>
                <c:pt idx="2">
                  <c:v>26000</c:v>
                </c:pt>
                <c:pt idx="3">
                  <c:v>32411</c:v>
                </c:pt>
              </c:numCache>
            </c:numRef>
          </c:val>
          <c:extLst>
            <c:ext xmlns:c16="http://schemas.microsoft.com/office/drawing/2014/chart" uri="{C3380CC4-5D6E-409C-BE32-E72D297353CC}">
              <c16:uniqueId val="{00000001-03ED-42F9-B639-8C83BB0EB494}"/>
            </c:ext>
          </c:extLst>
        </c:ser>
        <c:ser>
          <c:idx val="2"/>
          <c:order val="2"/>
          <c:tx>
            <c:strRef>
              <c:f>Extra!$O$103</c:f>
              <c:strCache>
                <c:ptCount val="1"/>
                <c:pt idx="0">
                  <c:v>2025-26 Contracted</c:v>
                </c:pt>
              </c:strCache>
            </c:strRef>
          </c:tx>
          <c:spPr>
            <a:solidFill>
              <a:srgbClr val="00B796"/>
            </a:solidFill>
            <a:ln>
              <a:solidFill>
                <a:srgbClr val="008269"/>
              </a:solidFill>
            </a:ln>
          </c:spPr>
          <c:invertIfNegative val="0"/>
          <c:dLbls>
            <c:dLbl>
              <c:idx val="0"/>
              <c:layout>
                <c:manualLayout>
                  <c:x val="3.7037698779965739E-3"/>
                  <c:y val="2.9239458119876848E-3"/>
                </c:manualLayout>
              </c:layout>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2-3542-4363-8AC6-8E590374E724}"/>
                </c:ext>
              </c:extLst>
            </c:dLbl>
            <c:dLbl>
              <c:idx val="1"/>
              <c:layout>
                <c:manualLayout>
                  <c:x val="3.843501944714554E-3"/>
                  <c:y val="2.1330480127978724E-3"/>
                </c:manualLayout>
              </c:layout>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0-A29D-4297-829F-F2A4BB1D8268}"/>
                </c:ext>
              </c:extLst>
            </c:dLbl>
            <c:dLbl>
              <c:idx val="2"/>
              <c:layout>
                <c:manualLayout>
                  <c:x val="5.6487475897410164E-3"/>
                  <c:y val="-5.7825192695241242E-3"/>
                </c:manualLayout>
              </c:layout>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1-A29D-4297-829F-F2A4BB1D8268}"/>
                </c:ext>
              </c:extLst>
            </c:dLbl>
            <c:dLbl>
              <c:idx val="3"/>
              <c:layout>
                <c:manualLayout>
                  <c:x val="3.7968411209221118E-3"/>
                  <c:y val="-8.9265161116074219E-3"/>
                </c:manualLayout>
              </c:layout>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2-A29D-4297-829F-F2A4BB1D8268}"/>
                </c:ext>
              </c:extLst>
            </c:dLbl>
            <c:dLbl>
              <c:idx val="4"/>
              <c:layout>
                <c:manualLayout>
                  <c:x val="7.4853050888708927E-3"/>
                  <c:y val="2.0729899705447022E-3"/>
                </c:manualLayout>
              </c:layout>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3-A29D-4297-829F-F2A4BB1D8268}"/>
                </c:ext>
              </c:extLst>
            </c:dLbl>
            <c:dLbl>
              <c:idx val="5"/>
              <c:layout>
                <c:manualLayout>
                  <c:x val="7.0417653226110587E-3"/>
                  <c:y val="1.1675166830514897E-4"/>
                </c:manualLayout>
              </c:layout>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4-A29D-4297-829F-F2A4BB1D8268}"/>
                </c:ext>
              </c:extLst>
            </c:dLbl>
            <c:dLbl>
              <c:idx val="6"/>
              <c:layout>
                <c:manualLayout>
                  <c:x val="5.6487475897408794E-3"/>
                  <c:y val="-5.7825192695241242E-3"/>
                </c:manualLayout>
              </c:layout>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5-A29D-4297-829F-F2A4BB1D8268}"/>
                </c:ext>
              </c:extLst>
            </c:dLbl>
            <c:dLbl>
              <c:idx val="7"/>
              <c:layout>
                <c:manualLayout>
                  <c:x val="-3.7037031636478327E-3"/>
                  <c:y val="-1.9649122807017545E-2"/>
                </c:manualLayout>
              </c:layout>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6-A29D-4297-829F-F2A4BB1D8268}"/>
                </c:ext>
              </c:extLst>
            </c:dLbl>
            <c:dLbl>
              <c:idx val="8"/>
              <c:layout>
                <c:manualLayout>
                  <c:x val="-7.4074063272958008E-3"/>
                  <c:y val="-8.4210526315789472E-3"/>
                </c:manualLayout>
              </c:layout>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7-A29D-4297-829F-F2A4BB1D8268}"/>
                </c:ext>
              </c:extLst>
            </c:dLbl>
            <c:spPr>
              <a:noFill/>
              <a:ln>
                <a:noFill/>
              </a:ln>
              <a:effectLst/>
            </c:spPr>
            <c:txPr>
              <a:bodyPr rot="-5400000" vert="horz" wrap="square" lIns="38100" tIns="19050" rIns="38100" bIns="19050" anchor="ctr">
                <a:spAutoFit/>
              </a:bodyPr>
              <a:lstStyle/>
              <a:p>
                <a:pPr>
                  <a:defRPr sz="900">
                    <a:latin typeface="Arial" panose="020B0604020202020204" pitchFamily="34" charset="0"/>
                    <a:cs typeface="Arial" panose="020B0604020202020204" pitchFamily="34" charset="0"/>
                  </a:defRPr>
                </a:pPr>
                <a:endParaRPr lang="en-US"/>
              </a:p>
            </c:txPr>
            <c:showLegendKey val="0"/>
            <c:showVal val="1"/>
            <c:showCatName val="0"/>
            <c:showSerName val="0"/>
            <c:showPercent val="0"/>
            <c:showBubbleSize val="0"/>
            <c:separator> </c:separator>
            <c:showLeaderLines val="0"/>
            <c:extLst>
              <c:ext xmlns:c15="http://schemas.microsoft.com/office/drawing/2012/chart" uri="{CE6537A1-D6FC-4f65-9D91-7224C49458BB}">
                <c15:showLeaderLines val="0"/>
              </c:ext>
            </c:extLst>
          </c:dLbls>
          <c:cat>
            <c:strRef>
              <c:f>Extra!$L$104:$L$107</c:f>
              <c:strCache>
                <c:ptCount val="4"/>
                <c:pt idx="0">
                  <c:v>Administrators (Licensed/Non-Licensed)</c:v>
                </c:pt>
                <c:pt idx="1">
                  <c:v>Teachers (Full Time)</c:v>
                </c:pt>
                <c:pt idx="2">
                  <c:v>Other Licensed Personnel</c:v>
                </c:pt>
                <c:pt idx="3">
                  <c:v>Classified Personnel</c:v>
                </c:pt>
              </c:strCache>
            </c:strRef>
          </c:cat>
          <c:val>
            <c:numRef>
              <c:f>Extra!$O$104:$O$107</c:f>
              <c:numCache>
                <c:formatCode>"$"#,##0</c:formatCode>
                <c:ptCount val="4"/>
                <c:pt idx="0">
                  <c:v>90000</c:v>
                </c:pt>
                <c:pt idx="1">
                  <c:v>57858</c:v>
                </c:pt>
                <c:pt idx="2">
                  <c:v>7200</c:v>
                </c:pt>
                <c:pt idx="3">
                  <c:v>29145</c:v>
                </c:pt>
              </c:numCache>
            </c:numRef>
          </c:val>
          <c:extLst>
            <c:ext xmlns:c16="http://schemas.microsoft.com/office/drawing/2014/chart" uri="{C3380CC4-5D6E-409C-BE32-E72D297353CC}">
              <c16:uniqueId val="{00000002-03ED-42F9-B639-8C83BB0EB494}"/>
            </c:ext>
          </c:extLst>
        </c:ser>
        <c:dLbls>
          <c:showLegendKey val="0"/>
          <c:showVal val="1"/>
          <c:showCatName val="0"/>
          <c:showSerName val="0"/>
          <c:showPercent val="0"/>
          <c:showBubbleSize val="0"/>
        </c:dLbls>
        <c:gapWidth val="150"/>
        <c:shape val="box"/>
        <c:axId val="128185088"/>
        <c:axId val="128186624"/>
        <c:axId val="0"/>
      </c:bar3DChart>
      <c:catAx>
        <c:axId val="128185088"/>
        <c:scaling>
          <c:orientation val="minMax"/>
        </c:scaling>
        <c:delete val="0"/>
        <c:axPos val="b"/>
        <c:numFmt formatCode="General" sourceLinked="1"/>
        <c:majorTickMark val="none"/>
        <c:minorTickMark val="none"/>
        <c:tickLblPos val="nextTo"/>
        <c:spPr>
          <a:noFill/>
        </c:spPr>
        <c:txPr>
          <a:bodyPr rot="0" anchor="t" anchorCtr="0"/>
          <a:lstStyle/>
          <a:p>
            <a:pPr>
              <a:defRPr sz="900" b="0" baseline="0">
                <a:solidFill>
                  <a:sysClr val="windowText" lastClr="000000"/>
                </a:solidFill>
                <a:latin typeface="Arial" panose="020B0604020202020204" pitchFamily="34" charset="0"/>
                <a:ea typeface="Open Sans" panose="020B0606030504020204" pitchFamily="34" charset="0"/>
                <a:cs typeface="Arial" panose="020B0604020202020204" pitchFamily="34" charset="0"/>
              </a:defRPr>
            </a:pPr>
            <a:endParaRPr lang="en-US"/>
          </a:p>
        </c:txPr>
        <c:crossAx val="128186624"/>
        <c:crosses val="autoZero"/>
        <c:auto val="1"/>
        <c:lblAlgn val="ctr"/>
        <c:lblOffset val="100"/>
        <c:noMultiLvlLbl val="0"/>
      </c:catAx>
      <c:valAx>
        <c:axId val="128186624"/>
        <c:scaling>
          <c:orientation val="minMax"/>
        </c:scaling>
        <c:delete val="0"/>
        <c:axPos val="l"/>
        <c:majorGridlines>
          <c:spPr>
            <a:ln>
              <a:solidFill>
                <a:srgbClr val="53565A"/>
              </a:solidFill>
            </a:ln>
          </c:spPr>
        </c:majorGridlines>
        <c:numFmt formatCode="&quot;$&quot;#,##0" sourceLinked="1"/>
        <c:majorTickMark val="none"/>
        <c:minorTickMark val="none"/>
        <c:tickLblPos val="nextTo"/>
        <c:spPr>
          <a:ln>
            <a:solidFill>
              <a:srgbClr val="53565A"/>
            </a:solidFill>
          </a:ln>
        </c:spPr>
        <c:txPr>
          <a:bodyPr/>
          <a:lstStyle/>
          <a:p>
            <a:pPr>
              <a:defRPr sz="900" baseline="0">
                <a:latin typeface="Arial" panose="020B0604020202020204" pitchFamily="34" charset="0"/>
                <a:ea typeface="Open Sans" panose="020B0606030504020204" pitchFamily="34" charset="0"/>
                <a:cs typeface="Arial" panose="020B0604020202020204" pitchFamily="34" charset="0"/>
              </a:defRPr>
            </a:pPr>
            <a:endParaRPr lang="en-US"/>
          </a:p>
        </c:txPr>
        <c:crossAx val="128185088"/>
        <c:crosses val="autoZero"/>
        <c:crossBetween val="between"/>
      </c:valAx>
      <c:spPr>
        <a:solidFill>
          <a:schemeClr val="bg1"/>
        </a:solidFill>
        <a:ln>
          <a:noFill/>
        </a:ln>
      </c:spPr>
    </c:plotArea>
    <c:legend>
      <c:legendPos val="b"/>
      <c:overlay val="0"/>
      <c:txPr>
        <a:bodyPr/>
        <a:lstStyle/>
        <a:p>
          <a:pPr>
            <a:defRPr sz="900" b="0">
              <a:solidFill>
                <a:sysClr val="windowText" lastClr="000000"/>
              </a:solidFill>
              <a:latin typeface="Arial" panose="020B0604020202020204" pitchFamily="34" charset="0"/>
              <a:ea typeface="Open Sans" panose="020B0606030504020204" pitchFamily="34" charset="0"/>
              <a:cs typeface="Arial" panose="020B0604020202020204" pitchFamily="34" charset="0"/>
            </a:defRPr>
          </a:pPr>
          <a:endParaRPr lang="en-US"/>
        </a:p>
      </c:txPr>
    </c:legend>
    <c:plotVisOnly val="1"/>
    <c:dispBlanksAs val="gap"/>
    <c:showDLblsOverMax val="0"/>
  </c:chart>
  <c:spPr>
    <a:ln>
      <a:solidFill>
        <a:srgbClr val="53565A"/>
      </a:solidFill>
    </a:ln>
  </c:spPr>
  <c:printSettings>
    <c:headerFooter/>
    <c:pageMargins b="0.75" l="0.7" r="0.7" t="0.75" header="0.3" footer="0.3"/>
    <c:pageSetup/>
  </c:printSettings>
</c:chartSpace>
</file>

<file path=xl/charts/chart5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34"/>
    </mc:Choice>
    <mc:Fallback>
      <c:style val="34"/>
    </mc:Fallback>
  </mc:AlternateContent>
  <c:chart>
    <c:title>
      <c:tx>
        <c:rich>
          <a:bodyPr/>
          <a:lstStyle/>
          <a:p>
            <a:pPr>
              <a:defRPr>
                <a:latin typeface="Arial" panose="020B0604020202020204" pitchFamily="34" charset="0"/>
                <a:cs typeface="Arial" panose="020B0604020202020204" pitchFamily="34" charset="0"/>
              </a:defRPr>
            </a:pPr>
            <a:r>
              <a:rPr lang="en-US" sz="1200">
                <a:latin typeface="Arial" panose="020B0604020202020204" pitchFamily="34" charset="0"/>
                <a:cs typeface="Arial" panose="020B0604020202020204" pitchFamily="34" charset="0"/>
              </a:rPr>
              <a:t>Total Expenditures By Function </a:t>
            </a:r>
            <a:r>
              <a:rPr lang="en-US" sz="1200" baseline="0">
                <a:latin typeface="Arial" panose="020B0604020202020204" pitchFamily="34" charset="0"/>
                <a:cs typeface="Arial" panose="020B0604020202020204" pitchFamily="34" charset="0"/>
              </a:rPr>
              <a:t>(Most Funds)</a:t>
            </a:r>
            <a:endParaRPr lang="en-US" sz="1200">
              <a:latin typeface="Arial" panose="020B0604020202020204" pitchFamily="34" charset="0"/>
              <a:cs typeface="Arial" panose="020B0604020202020204" pitchFamily="34" charset="0"/>
            </a:endParaRPr>
          </a:p>
        </c:rich>
      </c:tx>
      <c:layout>
        <c:manualLayout>
          <c:xMode val="edge"/>
          <c:yMode val="edge"/>
          <c:x val="0.13810529456464479"/>
          <c:y val="3.2171581769436998E-2"/>
        </c:manualLayout>
      </c:layout>
      <c:overlay val="0"/>
    </c:title>
    <c:autoTitleDeleted val="0"/>
    <c:view3D>
      <c:rotX val="15"/>
      <c:rotY val="20"/>
      <c:depthPercent val="100"/>
      <c:rAngAx val="1"/>
    </c:view3D>
    <c:floor>
      <c:thickness val="0"/>
    </c:floor>
    <c:sideWall>
      <c:thickness val="0"/>
      <c:spPr>
        <a:gradFill flip="none" rotWithShape="1">
          <a:gsLst>
            <a:gs pos="0">
              <a:schemeClr val="accent1">
                <a:tint val="66000"/>
                <a:satMod val="160000"/>
              </a:schemeClr>
            </a:gs>
            <a:gs pos="50000">
              <a:schemeClr val="accent1">
                <a:tint val="44500"/>
                <a:satMod val="160000"/>
              </a:schemeClr>
            </a:gs>
            <a:gs pos="100000">
              <a:schemeClr val="accent1">
                <a:tint val="23500"/>
                <a:satMod val="160000"/>
              </a:schemeClr>
            </a:gs>
          </a:gsLst>
          <a:lin ang="2700000" scaled="1"/>
          <a:tileRect/>
        </a:gradFill>
      </c:spPr>
    </c:sideWall>
    <c:backWall>
      <c:thickness val="0"/>
      <c:spPr>
        <a:gradFill flip="none" rotWithShape="1">
          <a:gsLst>
            <a:gs pos="0">
              <a:schemeClr val="accent1">
                <a:tint val="66000"/>
                <a:satMod val="160000"/>
              </a:schemeClr>
            </a:gs>
            <a:gs pos="50000">
              <a:schemeClr val="accent1">
                <a:tint val="44500"/>
                <a:satMod val="160000"/>
              </a:schemeClr>
            </a:gs>
            <a:gs pos="100000">
              <a:schemeClr val="accent1">
                <a:tint val="23500"/>
                <a:satMod val="160000"/>
              </a:schemeClr>
            </a:gs>
          </a:gsLst>
          <a:lin ang="2700000" scaled="1"/>
          <a:tileRect/>
        </a:gradFill>
      </c:spPr>
    </c:backWall>
    <c:plotArea>
      <c:layout>
        <c:manualLayout>
          <c:layoutTarget val="inner"/>
          <c:xMode val="edge"/>
          <c:yMode val="edge"/>
          <c:x val="3.7892883064969185E-2"/>
          <c:y val="0.1402829805110471"/>
          <c:w val="0.72936061500305349"/>
          <c:h val="0.52167613096620291"/>
        </c:manualLayout>
      </c:layout>
      <c:bar3DChart>
        <c:barDir val="col"/>
        <c:grouping val="clustered"/>
        <c:varyColors val="0"/>
        <c:ser>
          <c:idx val="0"/>
          <c:order val="0"/>
          <c:tx>
            <c:strRef>
              <c:f>Extra2!$C$7</c:f>
              <c:strCache>
                <c:ptCount val="1"/>
                <c:pt idx="0">
                  <c:v>2023-2024</c:v>
                </c:pt>
              </c:strCache>
            </c:strRef>
          </c:tx>
          <c:invertIfNegative val="0"/>
          <c:cat>
            <c:strRef>
              <c:f>Extra2!$B$9:$B$19</c:f>
              <c:strCache>
                <c:ptCount val="11"/>
                <c:pt idx="0">
                  <c:v>Instruction</c:v>
                </c:pt>
                <c:pt idx="1">
                  <c:v>Student Support</c:v>
                </c:pt>
                <c:pt idx="2">
                  <c:v>Instructional Support</c:v>
                </c:pt>
                <c:pt idx="3">
                  <c:v>Administration &amp; Support</c:v>
                </c:pt>
                <c:pt idx="4">
                  <c:v>Operations &amp; Maintenance</c:v>
                </c:pt>
                <c:pt idx="5">
                  <c:v>Transportation</c:v>
                </c:pt>
                <c:pt idx="6">
                  <c:v>Food Services</c:v>
                </c:pt>
                <c:pt idx="7">
                  <c:v>Capital Improvements</c:v>
                </c:pt>
                <c:pt idx="8">
                  <c:v>Debt Services</c:v>
                </c:pt>
                <c:pt idx="9">
                  <c:v>Other Costs</c:v>
                </c:pt>
                <c:pt idx="10">
                  <c:v>Total Expenditures*</c:v>
                </c:pt>
              </c:strCache>
            </c:strRef>
          </c:cat>
          <c:val>
            <c:numRef>
              <c:f>Extra2!$C$9:$C$19</c:f>
              <c:numCache>
                <c:formatCode>"$"#,##0</c:formatCode>
                <c:ptCount val="11"/>
                <c:pt idx="0">
                  <c:v>938685</c:v>
                </c:pt>
                <c:pt idx="1">
                  <c:v>2063</c:v>
                </c:pt>
                <c:pt idx="2">
                  <c:v>1258</c:v>
                </c:pt>
                <c:pt idx="3">
                  <c:v>256195</c:v>
                </c:pt>
                <c:pt idx="4">
                  <c:v>397475</c:v>
                </c:pt>
                <c:pt idx="5">
                  <c:v>54953</c:v>
                </c:pt>
                <c:pt idx="6">
                  <c:v>122157</c:v>
                </c:pt>
                <c:pt idx="7">
                  <c:v>39926</c:v>
                </c:pt>
                <c:pt idx="8">
                  <c:v>153725</c:v>
                </c:pt>
                <c:pt idx="9">
                  <c:v>7174</c:v>
                </c:pt>
                <c:pt idx="10" formatCode="#,##0">
                  <c:v>1973611</c:v>
                </c:pt>
              </c:numCache>
            </c:numRef>
          </c:val>
          <c:extLst>
            <c:ext xmlns:c16="http://schemas.microsoft.com/office/drawing/2014/chart" uri="{C3380CC4-5D6E-409C-BE32-E72D297353CC}">
              <c16:uniqueId val="{00000000-BA3C-4A9B-B26B-55060B3DEC20}"/>
            </c:ext>
          </c:extLst>
        </c:ser>
        <c:ser>
          <c:idx val="1"/>
          <c:order val="1"/>
          <c:tx>
            <c:strRef>
              <c:f>Extra2!$D$7</c:f>
              <c:strCache>
                <c:ptCount val="1"/>
                <c:pt idx="0">
                  <c:v>2024-2025</c:v>
                </c:pt>
              </c:strCache>
            </c:strRef>
          </c:tx>
          <c:invertIfNegative val="0"/>
          <c:cat>
            <c:strRef>
              <c:f>Extra2!$B$9:$B$19</c:f>
              <c:strCache>
                <c:ptCount val="11"/>
                <c:pt idx="0">
                  <c:v>Instruction</c:v>
                </c:pt>
                <c:pt idx="1">
                  <c:v>Student Support</c:v>
                </c:pt>
                <c:pt idx="2">
                  <c:v>Instructional Support</c:v>
                </c:pt>
                <c:pt idx="3">
                  <c:v>Administration &amp; Support</c:v>
                </c:pt>
                <c:pt idx="4">
                  <c:v>Operations &amp; Maintenance</c:v>
                </c:pt>
                <c:pt idx="5">
                  <c:v>Transportation</c:v>
                </c:pt>
                <c:pt idx="6">
                  <c:v>Food Services</c:v>
                </c:pt>
                <c:pt idx="7">
                  <c:v>Capital Improvements</c:v>
                </c:pt>
                <c:pt idx="8">
                  <c:v>Debt Services</c:v>
                </c:pt>
                <c:pt idx="9">
                  <c:v>Other Costs</c:v>
                </c:pt>
                <c:pt idx="10">
                  <c:v>Total Expenditures*</c:v>
                </c:pt>
              </c:strCache>
            </c:strRef>
          </c:cat>
          <c:val>
            <c:numRef>
              <c:f>Extra2!$D$9:$D$19</c:f>
              <c:numCache>
                <c:formatCode>"$"#,##0</c:formatCode>
                <c:ptCount val="11"/>
                <c:pt idx="0">
                  <c:v>1968697</c:v>
                </c:pt>
                <c:pt idx="1">
                  <c:v>267</c:v>
                </c:pt>
                <c:pt idx="2">
                  <c:v>240</c:v>
                </c:pt>
                <c:pt idx="3">
                  <c:v>263732</c:v>
                </c:pt>
                <c:pt idx="4">
                  <c:v>693565</c:v>
                </c:pt>
                <c:pt idx="5">
                  <c:v>58431</c:v>
                </c:pt>
                <c:pt idx="6">
                  <c:v>133439</c:v>
                </c:pt>
                <c:pt idx="7">
                  <c:v>0</c:v>
                </c:pt>
                <c:pt idx="8">
                  <c:v>154900</c:v>
                </c:pt>
                <c:pt idx="9">
                  <c:v>219</c:v>
                </c:pt>
                <c:pt idx="10">
                  <c:v>3273490</c:v>
                </c:pt>
              </c:numCache>
            </c:numRef>
          </c:val>
          <c:extLst>
            <c:ext xmlns:c16="http://schemas.microsoft.com/office/drawing/2014/chart" uri="{C3380CC4-5D6E-409C-BE32-E72D297353CC}">
              <c16:uniqueId val="{00000001-BA3C-4A9B-B26B-55060B3DEC20}"/>
            </c:ext>
          </c:extLst>
        </c:ser>
        <c:ser>
          <c:idx val="2"/>
          <c:order val="2"/>
          <c:tx>
            <c:strRef>
              <c:f>Extra2!$E$7</c:f>
              <c:strCache>
                <c:ptCount val="1"/>
                <c:pt idx="0">
                  <c:v>2025-2026</c:v>
                </c:pt>
              </c:strCache>
            </c:strRef>
          </c:tx>
          <c:invertIfNegative val="0"/>
          <c:dLbls>
            <c:dLbl>
              <c:idx val="2"/>
              <c:layout>
                <c:manualLayout>
                  <c:x val="-2.368265245707519E-3"/>
                  <c:y val="-7.1492403932081564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A3C-4A9B-B26B-55060B3DEC20}"/>
                </c:ext>
              </c:extLst>
            </c:dLbl>
            <c:dLbl>
              <c:idx val="4"/>
              <c:layout>
                <c:manualLayout>
                  <c:x val="2.368265245707519E-3"/>
                  <c:y val="3.574620196604110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BA3C-4A9B-B26B-55060B3DEC20}"/>
                </c:ext>
              </c:extLst>
            </c:dLbl>
            <c:dLbl>
              <c:idx val="6"/>
              <c:layout>
                <c:manualLayout>
                  <c:x val="-2.368265245707519E-3"/>
                  <c:y val="-3.574620196604045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BA3C-4A9B-B26B-55060B3DEC20}"/>
                </c:ext>
              </c:extLst>
            </c:dLbl>
            <c:dLbl>
              <c:idx val="7"/>
              <c:layout>
                <c:manualLayout>
                  <c:x val="0"/>
                  <c:y val="3.574620196604110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BA3C-4A9B-B26B-55060B3DEC20}"/>
                </c:ext>
              </c:extLst>
            </c:dLbl>
            <c:dLbl>
              <c:idx val="10"/>
              <c:layout>
                <c:manualLayout>
                  <c:x val="2.368265245707519E-3"/>
                  <c:y val="3.574620196604110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BA3C-4A9B-B26B-55060B3DEC20}"/>
                </c:ext>
              </c:extLst>
            </c:dLbl>
            <c:spPr>
              <a:noFill/>
              <a:ln>
                <a:noFill/>
              </a:ln>
              <a:effectLst/>
            </c:spPr>
            <c:txPr>
              <a:bodyPr rot="-5400000" vert="horz"/>
              <a:lstStyle/>
              <a:p>
                <a:pPr>
                  <a:defRPr sz="9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Extra2!$B$9:$B$19</c:f>
              <c:strCache>
                <c:ptCount val="11"/>
                <c:pt idx="0">
                  <c:v>Instruction</c:v>
                </c:pt>
                <c:pt idx="1">
                  <c:v>Student Support</c:v>
                </c:pt>
                <c:pt idx="2">
                  <c:v>Instructional Support</c:v>
                </c:pt>
                <c:pt idx="3">
                  <c:v>Administration &amp; Support</c:v>
                </c:pt>
                <c:pt idx="4">
                  <c:v>Operations &amp; Maintenance</c:v>
                </c:pt>
                <c:pt idx="5">
                  <c:v>Transportation</c:v>
                </c:pt>
                <c:pt idx="6">
                  <c:v>Food Services</c:v>
                </c:pt>
                <c:pt idx="7">
                  <c:v>Capital Improvements</c:v>
                </c:pt>
                <c:pt idx="8">
                  <c:v>Debt Services</c:v>
                </c:pt>
                <c:pt idx="9">
                  <c:v>Other Costs</c:v>
                </c:pt>
                <c:pt idx="10">
                  <c:v>Total Expenditures*</c:v>
                </c:pt>
              </c:strCache>
            </c:strRef>
          </c:cat>
          <c:val>
            <c:numRef>
              <c:f>Extra2!$E$9:$E$19</c:f>
              <c:numCache>
                <c:formatCode>"$"#,##0</c:formatCode>
                <c:ptCount val="11"/>
                <c:pt idx="0">
                  <c:v>1412804</c:v>
                </c:pt>
                <c:pt idx="1">
                  <c:v>0</c:v>
                </c:pt>
                <c:pt idx="2">
                  <c:v>100</c:v>
                </c:pt>
                <c:pt idx="3">
                  <c:v>266917</c:v>
                </c:pt>
                <c:pt idx="4">
                  <c:v>624676</c:v>
                </c:pt>
                <c:pt idx="5">
                  <c:v>191507</c:v>
                </c:pt>
                <c:pt idx="6">
                  <c:v>129500</c:v>
                </c:pt>
                <c:pt idx="7">
                  <c:v>25000</c:v>
                </c:pt>
                <c:pt idx="8">
                  <c:v>154900</c:v>
                </c:pt>
                <c:pt idx="9">
                  <c:v>0</c:v>
                </c:pt>
                <c:pt idx="10">
                  <c:v>2805404</c:v>
                </c:pt>
              </c:numCache>
            </c:numRef>
          </c:val>
          <c:extLst>
            <c:ext xmlns:c16="http://schemas.microsoft.com/office/drawing/2014/chart" uri="{C3380CC4-5D6E-409C-BE32-E72D297353CC}">
              <c16:uniqueId val="{00000007-BA3C-4A9B-B26B-55060B3DEC20}"/>
            </c:ext>
          </c:extLst>
        </c:ser>
        <c:dLbls>
          <c:showLegendKey val="0"/>
          <c:showVal val="0"/>
          <c:showCatName val="0"/>
          <c:showSerName val="0"/>
          <c:showPercent val="0"/>
          <c:showBubbleSize val="0"/>
        </c:dLbls>
        <c:gapWidth val="150"/>
        <c:shape val="box"/>
        <c:axId val="132396928"/>
        <c:axId val="132398464"/>
        <c:axId val="0"/>
      </c:bar3DChart>
      <c:catAx>
        <c:axId val="132396928"/>
        <c:scaling>
          <c:orientation val="minMax"/>
        </c:scaling>
        <c:delete val="0"/>
        <c:axPos val="b"/>
        <c:numFmt formatCode="General" sourceLinked="1"/>
        <c:majorTickMark val="none"/>
        <c:minorTickMark val="none"/>
        <c:tickLblPos val="nextTo"/>
        <c:txPr>
          <a:bodyPr/>
          <a:lstStyle/>
          <a:p>
            <a:pPr>
              <a:defRPr sz="800" baseline="0">
                <a:latin typeface="Arial" panose="020B0604020202020204" pitchFamily="34" charset="0"/>
                <a:cs typeface="Arial" panose="020B0604020202020204" pitchFamily="34" charset="0"/>
              </a:defRPr>
            </a:pPr>
            <a:endParaRPr lang="en-US"/>
          </a:p>
        </c:txPr>
        <c:crossAx val="132398464"/>
        <c:crosses val="autoZero"/>
        <c:auto val="1"/>
        <c:lblAlgn val="ctr"/>
        <c:lblOffset val="100"/>
        <c:noMultiLvlLbl val="0"/>
      </c:catAx>
      <c:valAx>
        <c:axId val="132398464"/>
        <c:scaling>
          <c:orientation val="minMax"/>
        </c:scaling>
        <c:delete val="0"/>
        <c:axPos val="l"/>
        <c:majorGridlines/>
        <c:numFmt formatCode="&quot;$&quot;#,##0" sourceLinked="1"/>
        <c:majorTickMark val="none"/>
        <c:minorTickMark val="none"/>
        <c:tickLblPos val="nextTo"/>
        <c:txPr>
          <a:bodyPr/>
          <a:lstStyle/>
          <a:p>
            <a:pPr>
              <a:defRPr sz="900" baseline="0">
                <a:latin typeface="Arial" panose="020B0604020202020204" pitchFamily="34" charset="0"/>
                <a:cs typeface="Arial" panose="020B0604020202020204" pitchFamily="34" charset="0"/>
              </a:defRPr>
            </a:pPr>
            <a:endParaRPr lang="en-US"/>
          </a:p>
        </c:txPr>
        <c:crossAx val="132396928"/>
        <c:crosses val="autoZero"/>
        <c:crossBetween val="between"/>
      </c:valAx>
    </c:plotArea>
    <c:legend>
      <c:legendPos val="r"/>
      <c:layout>
        <c:manualLayout>
          <c:xMode val="edge"/>
          <c:yMode val="edge"/>
          <c:x val="0.85916206300144982"/>
          <c:y val="0.34323109075172575"/>
          <c:w val="0.1379175116431938"/>
          <c:h val="0.1939186422072576"/>
        </c:manualLayout>
      </c:layout>
      <c:overlay val="0"/>
    </c:legend>
    <c:plotVisOnly val="1"/>
    <c:dispBlanksAs val="gap"/>
    <c:showDLblsOverMax val="0"/>
  </c:chart>
  <c:printSettings>
    <c:headerFooter/>
    <c:pageMargins b="0.75" l="0.7" r="0.7" t="0.75" header="0.3" footer="0.3"/>
    <c:pageSetup/>
  </c:printSettings>
</c:chartSpace>
</file>

<file path=xl/charts/chart5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34"/>
    </mc:Choice>
    <mc:Fallback>
      <c:style val="34"/>
    </mc:Fallback>
  </mc:AlternateContent>
  <c:chart>
    <c:title>
      <c:tx>
        <c:rich>
          <a:bodyPr/>
          <a:lstStyle/>
          <a:p>
            <a:pPr>
              <a:defRPr/>
            </a:pPr>
            <a:r>
              <a:rPr lang="en-US" sz="1200"/>
              <a:t>Amount Per Pupil By Function </a:t>
            </a:r>
            <a:r>
              <a:rPr lang="en-US" sz="1200" baseline="0"/>
              <a:t>(Most Funds)</a:t>
            </a:r>
            <a:endParaRPr lang="en-US" sz="1200"/>
          </a:p>
        </c:rich>
      </c:tx>
      <c:layout>
        <c:manualLayout>
          <c:xMode val="edge"/>
          <c:yMode val="edge"/>
          <c:x val="0.15912089749843217"/>
          <c:y val="2.1680222970566109E-2"/>
        </c:manualLayout>
      </c:layout>
      <c:overlay val="0"/>
    </c:title>
    <c:autoTitleDeleted val="0"/>
    <c:view3D>
      <c:rotX val="15"/>
      <c:rotY val="20"/>
      <c:depthPercent val="100"/>
      <c:rAngAx val="1"/>
    </c:view3D>
    <c:floor>
      <c:thickness val="0"/>
    </c:floor>
    <c:sideWall>
      <c:thickness val="0"/>
      <c:spPr>
        <a:gradFill flip="none" rotWithShape="1">
          <a:gsLst>
            <a:gs pos="0">
              <a:schemeClr val="accent1">
                <a:tint val="66000"/>
                <a:satMod val="160000"/>
              </a:schemeClr>
            </a:gs>
            <a:gs pos="50000">
              <a:schemeClr val="accent1">
                <a:tint val="44500"/>
                <a:satMod val="160000"/>
              </a:schemeClr>
            </a:gs>
            <a:gs pos="100000">
              <a:schemeClr val="accent1">
                <a:tint val="23500"/>
                <a:satMod val="160000"/>
              </a:schemeClr>
            </a:gs>
          </a:gsLst>
          <a:lin ang="2700000" scaled="1"/>
          <a:tileRect/>
        </a:gradFill>
      </c:spPr>
    </c:sideWall>
    <c:backWall>
      <c:thickness val="0"/>
      <c:spPr>
        <a:gradFill flip="none" rotWithShape="1">
          <a:gsLst>
            <a:gs pos="0">
              <a:schemeClr val="accent1">
                <a:tint val="66000"/>
                <a:satMod val="160000"/>
              </a:schemeClr>
            </a:gs>
            <a:gs pos="50000">
              <a:schemeClr val="accent1">
                <a:tint val="44500"/>
                <a:satMod val="160000"/>
              </a:schemeClr>
            </a:gs>
            <a:gs pos="100000">
              <a:schemeClr val="accent1">
                <a:tint val="23500"/>
                <a:satMod val="160000"/>
              </a:schemeClr>
            </a:gs>
          </a:gsLst>
          <a:lin ang="2700000" scaled="1"/>
          <a:tileRect/>
        </a:gradFill>
      </c:spPr>
    </c:backWall>
    <c:plotArea>
      <c:layout>
        <c:manualLayout>
          <c:layoutTarget val="inner"/>
          <c:xMode val="edge"/>
          <c:yMode val="edge"/>
          <c:x val="3.7892883064969185E-2"/>
          <c:y val="0.1402829805110471"/>
          <c:w val="0.74614805007781115"/>
          <c:h val="0.63389214475301647"/>
        </c:manualLayout>
      </c:layout>
      <c:bar3DChart>
        <c:barDir val="col"/>
        <c:grouping val="clustered"/>
        <c:varyColors val="0"/>
        <c:ser>
          <c:idx val="0"/>
          <c:order val="0"/>
          <c:tx>
            <c:strRef>
              <c:f>Extra2!$C$50</c:f>
              <c:strCache>
                <c:ptCount val="1"/>
                <c:pt idx="0">
                  <c:v>2023-2024</c:v>
                </c:pt>
              </c:strCache>
            </c:strRef>
          </c:tx>
          <c:invertIfNegative val="0"/>
          <c:cat>
            <c:strRef>
              <c:f>Extra2!$B$52:$B$62</c:f>
              <c:strCache>
                <c:ptCount val="11"/>
                <c:pt idx="0">
                  <c:v>Instruction</c:v>
                </c:pt>
                <c:pt idx="1">
                  <c:v>Student Support</c:v>
                </c:pt>
                <c:pt idx="2">
                  <c:v>Instructional Support</c:v>
                </c:pt>
                <c:pt idx="3">
                  <c:v>Administration &amp; Support</c:v>
                </c:pt>
                <c:pt idx="4">
                  <c:v>Operations &amp; Maintenance</c:v>
                </c:pt>
                <c:pt idx="5">
                  <c:v>Transportation</c:v>
                </c:pt>
                <c:pt idx="6">
                  <c:v>Food Services</c:v>
                </c:pt>
                <c:pt idx="7">
                  <c:v>Capital Improvements</c:v>
                </c:pt>
                <c:pt idx="8">
                  <c:v>Debt Services</c:v>
                </c:pt>
                <c:pt idx="9">
                  <c:v>Other Costs</c:v>
                </c:pt>
                <c:pt idx="10">
                  <c:v>Total Expenditures Per Pupil</c:v>
                </c:pt>
              </c:strCache>
            </c:strRef>
          </c:cat>
          <c:val>
            <c:numRef>
              <c:f>Extra2!$C$52:$C$62</c:f>
              <c:numCache>
                <c:formatCode>#,##0</c:formatCode>
                <c:ptCount val="11"/>
                <c:pt idx="0">
                  <c:v>13277</c:v>
                </c:pt>
                <c:pt idx="1">
                  <c:v>29</c:v>
                </c:pt>
                <c:pt idx="2">
                  <c:v>18</c:v>
                </c:pt>
                <c:pt idx="3">
                  <c:v>3624</c:v>
                </c:pt>
                <c:pt idx="4">
                  <c:v>5622</c:v>
                </c:pt>
                <c:pt idx="5">
                  <c:v>777</c:v>
                </c:pt>
                <c:pt idx="6">
                  <c:v>1728</c:v>
                </c:pt>
                <c:pt idx="7">
                  <c:v>565</c:v>
                </c:pt>
                <c:pt idx="8">
                  <c:v>2174</c:v>
                </c:pt>
                <c:pt idx="9">
                  <c:v>101</c:v>
                </c:pt>
                <c:pt idx="10">
                  <c:v>27915</c:v>
                </c:pt>
              </c:numCache>
            </c:numRef>
          </c:val>
          <c:extLst>
            <c:ext xmlns:c16="http://schemas.microsoft.com/office/drawing/2014/chart" uri="{C3380CC4-5D6E-409C-BE32-E72D297353CC}">
              <c16:uniqueId val="{00000000-09CC-4F9D-802B-ADD047B2663A}"/>
            </c:ext>
          </c:extLst>
        </c:ser>
        <c:ser>
          <c:idx val="1"/>
          <c:order val="1"/>
          <c:tx>
            <c:strRef>
              <c:f>Extra2!$D$50</c:f>
              <c:strCache>
                <c:ptCount val="1"/>
                <c:pt idx="0">
                  <c:v>2024-2025</c:v>
                </c:pt>
              </c:strCache>
            </c:strRef>
          </c:tx>
          <c:invertIfNegative val="0"/>
          <c:cat>
            <c:strRef>
              <c:f>Extra2!$B$52:$B$62</c:f>
              <c:strCache>
                <c:ptCount val="11"/>
                <c:pt idx="0">
                  <c:v>Instruction</c:v>
                </c:pt>
                <c:pt idx="1">
                  <c:v>Student Support</c:v>
                </c:pt>
                <c:pt idx="2">
                  <c:v>Instructional Support</c:v>
                </c:pt>
                <c:pt idx="3">
                  <c:v>Administration &amp; Support</c:v>
                </c:pt>
                <c:pt idx="4">
                  <c:v>Operations &amp; Maintenance</c:v>
                </c:pt>
                <c:pt idx="5">
                  <c:v>Transportation</c:v>
                </c:pt>
                <c:pt idx="6">
                  <c:v>Food Services</c:v>
                </c:pt>
                <c:pt idx="7">
                  <c:v>Capital Improvements</c:v>
                </c:pt>
                <c:pt idx="8">
                  <c:v>Debt Services</c:v>
                </c:pt>
                <c:pt idx="9">
                  <c:v>Other Costs</c:v>
                </c:pt>
                <c:pt idx="10">
                  <c:v>Total Expenditures Per Pupil</c:v>
                </c:pt>
              </c:strCache>
            </c:strRef>
          </c:cat>
          <c:val>
            <c:numRef>
              <c:f>Extra2!$D$52:$D$62</c:f>
              <c:numCache>
                <c:formatCode>#,##0</c:formatCode>
                <c:ptCount val="11"/>
                <c:pt idx="0">
                  <c:v>23863</c:v>
                </c:pt>
                <c:pt idx="1">
                  <c:v>3</c:v>
                </c:pt>
                <c:pt idx="2">
                  <c:v>3</c:v>
                </c:pt>
                <c:pt idx="3">
                  <c:v>3197</c:v>
                </c:pt>
                <c:pt idx="4">
                  <c:v>8407</c:v>
                </c:pt>
                <c:pt idx="5">
                  <c:v>708</c:v>
                </c:pt>
                <c:pt idx="6">
                  <c:v>1617</c:v>
                </c:pt>
                <c:pt idx="7">
                  <c:v>0</c:v>
                </c:pt>
                <c:pt idx="8">
                  <c:v>1878</c:v>
                </c:pt>
                <c:pt idx="9">
                  <c:v>3</c:v>
                </c:pt>
                <c:pt idx="10">
                  <c:v>39679</c:v>
                </c:pt>
              </c:numCache>
            </c:numRef>
          </c:val>
          <c:extLst>
            <c:ext xmlns:c16="http://schemas.microsoft.com/office/drawing/2014/chart" uri="{C3380CC4-5D6E-409C-BE32-E72D297353CC}">
              <c16:uniqueId val="{00000001-09CC-4F9D-802B-ADD047B2663A}"/>
            </c:ext>
          </c:extLst>
        </c:ser>
        <c:ser>
          <c:idx val="2"/>
          <c:order val="2"/>
          <c:tx>
            <c:strRef>
              <c:f>Extra2!$E$50</c:f>
              <c:strCache>
                <c:ptCount val="1"/>
                <c:pt idx="0">
                  <c:v>2025-2026</c:v>
                </c:pt>
              </c:strCache>
            </c:strRef>
          </c:tx>
          <c:invertIfNegative val="0"/>
          <c:dLbls>
            <c:spPr>
              <a:noFill/>
              <a:ln>
                <a:noFill/>
              </a:ln>
              <a:effectLst/>
            </c:spPr>
            <c:txPr>
              <a:bodyPr rot="-5400000" vert="horz"/>
              <a:lstStyle/>
              <a:p>
                <a:pPr>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Extra2!$B$52:$B$62</c:f>
              <c:strCache>
                <c:ptCount val="11"/>
                <c:pt idx="0">
                  <c:v>Instruction</c:v>
                </c:pt>
                <c:pt idx="1">
                  <c:v>Student Support</c:v>
                </c:pt>
                <c:pt idx="2">
                  <c:v>Instructional Support</c:v>
                </c:pt>
                <c:pt idx="3">
                  <c:v>Administration &amp; Support</c:v>
                </c:pt>
                <c:pt idx="4">
                  <c:v>Operations &amp; Maintenance</c:v>
                </c:pt>
                <c:pt idx="5">
                  <c:v>Transportation</c:v>
                </c:pt>
                <c:pt idx="6">
                  <c:v>Food Services</c:v>
                </c:pt>
                <c:pt idx="7">
                  <c:v>Capital Improvements</c:v>
                </c:pt>
                <c:pt idx="8">
                  <c:v>Debt Services</c:v>
                </c:pt>
                <c:pt idx="9">
                  <c:v>Other Costs</c:v>
                </c:pt>
                <c:pt idx="10">
                  <c:v>Total Expenditures Per Pupil</c:v>
                </c:pt>
              </c:strCache>
            </c:strRef>
          </c:cat>
          <c:val>
            <c:numRef>
              <c:f>Extra2!$E$52:$E$62</c:f>
              <c:numCache>
                <c:formatCode>#,##0</c:formatCode>
                <c:ptCount val="11"/>
                <c:pt idx="0">
                  <c:v>20183</c:v>
                </c:pt>
                <c:pt idx="1">
                  <c:v>0</c:v>
                </c:pt>
                <c:pt idx="2">
                  <c:v>1</c:v>
                </c:pt>
                <c:pt idx="3">
                  <c:v>3813</c:v>
                </c:pt>
                <c:pt idx="4">
                  <c:v>8924</c:v>
                </c:pt>
                <c:pt idx="5">
                  <c:v>2736</c:v>
                </c:pt>
                <c:pt idx="6">
                  <c:v>1850</c:v>
                </c:pt>
                <c:pt idx="7">
                  <c:v>357</c:v>
                </c:pt>
                <c:pt idx="8">
                  <c:v>2213</c:v>
                </c:pt>
                <c:pt idx="9">
                  <c:v>0</c:v>
                </c:pt>
                <c:pt idx="10">
                  <c:v>40077</c:v>
                </c:pt>
              </c:numCache>
            </c:numRef>
          </c:val>
          <c:extLst>
            <c:ext xmlns:c16="http://schemas.microsoft.com/office/drawing/2014/chart" uri="{C3380CC4-5D6E-409C-BE32-E72D297353CC}">
              <c16:uniqueId val="{00000002-09CC-4F9D-802B-ADD047B2663A}"/>
            </c:ext>
          </c:extLst>
        </c:ser>
        <c:dLbls>
          <c:showLegendKey val="0"/>
          <c:showVal val="0"/>
          <c:showCatName val="0"/>
          <c:showSerName val="0"/>
          <c:showPercent val="0"/>
          <c:showBubbleSize val="0"/>
        </c:dLbls>
        <c:gapWidth val="150"/>
        <c:shape val="box"/>
        <c:axId val="132450176"/>
        <c:axId val="132451712"/>
        <c:axId val="0"/>
      </c:bar3DChart>
      <c:catAx>
        <c:axId val="132450176"/>
        <c:scaling>
          <c:orientation val="minMax"/>
        </c:scaling>
        <c:delete val="0"/>
        <c:axPos val="b"/>
        <c:numFmt formatCode="General" sourceLinked="1"/>
        <c:majorTickMark val="none"/>
        <c:minorTickMark val="none"/>
        <c:tickLblPos val="nextTo"/>
        <c:txPr>
          <a:bodyPr/>
          <a:lstStyle/>
          <a:p>
            <a:pPr>
              <a:defRPr sz="800" baseline="0"/>
            </a:pPr>
            <a:endParaRPr lang="en-US"/>
          </a:p>
        </c:txPr>
        <c:crossAx val="132451712"/>
        <c:crosses val="autoZero"/>
        <c:auto val="1"/>
        <c:lblAlgn val="ctr"/>
        <c:lblOffset val="100"/>
        <c:noMultiLvlLbl val="0"/>
      </c:catAx>
      <c:valAx>
        <c:axId val="132451712"/>
        <c:scaling>
          <c:orientation val="minMax"/>
        </c:scaling>
        <c:delete val="0"/>
        <c:axPos val="l"/>
        <c:majorGridlines/>
        <c:numFmt formatCode="#,##0" sourceLinked="1"/>
        <c:majorTickMark val="none"/>
        <c:minorTickMark val="none"/>
        <c:tickLblPos val="nextTo"/>
        <c:txPr>
          <a:bodyPr/>
          <a:lstStyle/>
          <a:p>
            <a:pPr>
              <a:defRPr sz="900" baseline="0"/>
            </a:pPr>
            <a:endParaRPr lang="en-US"/>
          </a:p>
        </c:txPr>
        <c:crossAx val="132450176"/>
        <c:crosses val="autoZero"/>
        <c:crossBetween val="between"/>
      </c:valAx>
    </c:plotArea>
    <c:legend>
      <c:legendPos val="r"/>
      <c:layout>
        <c:manualLayout>
          <c:xMode val="edge"/>
          <c:yMode val="edge"/>
          <c:x val="0.83961145564769002"/>
          <c:y val="0.35420354541243843"/>
          <c:w val="0.13395953824356027"/>
          <c:h val="0.19340014316392271"/>
        </c:manualLayout>
      </c:layout>
      <c:overlay val="0"/>
    </c:legend>
    <c:plotVisOnly val="1"/>
    <c:dispBlanksAs val="gap"/>
    <c:showDLblsOverMax val="0"/>
  </c:chart>
  <c:printSettings>
    <c:headerFooter/>
    <c:pageMargins b="0.75" l="0.7" r="0.7" t="0.75" header="0.3" footer="0.3"/>
    <c:pageSetup orientation="portrait"/>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34"/>
    </mc:Choice>
    <mc:Fallback>
      <c:style val="34"/>
    </mc:Fallback>
  </mc:AlternateContent>
  <c:clrMapOvr bg1="lt1" tx1="dk1" bg2="lt2" tx2="dk2" accent1="accent1" accent2="accent2" accent3="accent3" accent4="accent4" accent5="accent5" accent6="accent6" hlink="hlink" folHlink="folHlink"/>
  <c:chart>
    <c:title>
      <c:tx>
        <c:rich>
          <a:bodyPr/>
          <a:lstStyle/>
          <a:p>
            <a:pPr>
              <a:defRPr sz="1400" b="0">
                <a:solidFill>
                  <a:srgbClr val="53565A"/>
                </a:solidFill>
                <a:latin typeface="Open Sans Semibold" panose="020B0706030804020204" pitchFamily="34" charset="0"/>
                <a:ea typeface="Open Sans Semibold" panose="020B0706030804020204" pitchFamily="34" charset="0"/>
                <a:cs typeface="Open Sans Semibold" panose="020B0706030804020204" pitchFamily="34" charset="0"/>
              </a:defRPr>
            </a:pPr>
            <a:r>
              <a:rPr lang="en-US">
                <a:latin typeface="Arial" panose="020B0604020202020204" pitchFamily="34" charset="0"/>
                <a:cs typeface="Arial" panose="020B0604020202020204" pitchFamily="34" charset="0"/>
              </a:rPr>
              <a:t>General Administration Expenditures (2300)</a:t>
            </a:r>
          </a:p>
        </c:rich>
      </c:tx>
      <c:layout>
        <c:manualLayout>
          <c:xMode val="edge"/>
          <c:yMode val="edge"/>
          <c:x val="0.34079309687107945"/>
          <c:y val="4.3923768154309505E-2"/>
        </c:manualLayout>
      </c:layout>
      <c:overlay val="0"/>
    </c:title>
    <c:autoTitleDeleted val="0"/>
    <c:view3D>
      <c:rotX val="15"/>
      <c:rotY val="20"/>
      <c:depthPercent val="100"/>
      <c:rAngAx val="1"/>
    </c:view3D>
    <c:floor>
      <c:thickness val="0"/>
      <c:spPr>
        <a:gradFill flip="none" rotWithShape="1">
          <a:gsLst>
            <a:gs pos="0">
              <a:srgbClr val="12284C">
                <a:lumMod val="5000"/>
                <a:lumOff val="95000"/>
              </a:srgbClr>
            </a:gs>
            <a:gs pos="74000">
              <a:srgbClr val="12284C">
                <a:lumMod val="45000"/>
                <a:lumOff val="55000"/>
              </a:srgbClr>
            </a:gs>
            <a:gs pos="83000">
              <a:srgbClr val="12284C">
                <a:lumMod val="45000"/>
                <a:lumOff val="55000"/>
              </a:srgbClr>
            </a:gs>
            <a:gs pos="100000">
              <a:srgbClr val="12284C">
                <a:lumMod val="30000"/>
                <a:lumOff val="70000"/>
              </a:srgbClr>
            </a:gs>
          </a:gsLst>
          <a:path path="circle">
            <a:fillToRect l="100000" t="100000"/>
          </a:path>
          <a:tileRect r="-100000" b="-100000"/>
        </a:gradFill>
        <a:ln>
          <a:solidFill>
            <a:srgbClr val="12284C"/>
          </a:solidFill>
        </a:ln>
      </c:spPr>
    </c:floor>
    <c:sideWall>
      <c:thickness val="0"/>
      <c:spPr>
        <a:gradFill flip="none" rotWithShape="1">
          <a:gsLst>
            <a:gs pos="0">
              <a:srgbClr val="12284C">
                <a:lumMod val="5000"/>
                <a:lumOff val="95000"/>
              </a:srgbClr>
            </a:gs>
            <a:gs pos="74000">
              <a:srgbClr val="12284C">
                <a:lumMod val="45000"/>
                <a:lumOff val="55000"/>
              </a:srgbClr>
            </a:gs>
            <a:gs pos="83000">
              <a:srgbClr val="12284C">
                <a:lumMod val="45000"/>
                <a:lumOff val="55000"/>
              </a:srgbClr>
            </a:gs>
            <a:gs pos="100000">
              <a:srgbClr val="12284C">
                <a:lumMod val="30000"/>
                <a:lumOff val="70000"/>
              </a:srgbClr>
            </a:gs>
          </a:gsLst>
          <a:path path="circle">
            <a:fillToRect l="100000" t="100000"/>
          </a:path>
          <a:tileRect r="-100000" b="-100000"/>
        </a:gradFill>
        <a:ln>
          <a:solidFill>
            <a:srgbClr val="12284C"/>
          </a:solidFill>
        </a:ln>
      </c:spPr>
    </c:sideWall>
    <c:backWall>
      <c:thickness val="0"/>
      <c:spPr>
        <a:gradFill flip="none" rotWithShape="1">
          <a:gsLst>
            <a:gs pos="0">
              <a:srgbClr val="12284C">
                <a:lumMod val="5000"/>
                <a:lumOff val="95000"/>
              </a:srgbClr>
            </a:gs>
            <a:gs pos="74000">
              <a:srgbClr val="12284C">
                <a:lumMod val="45000"/>
                <a:lumOff val="55000"/>
              </a:srgbClr>
            </a:gs>
            <a:gs pos="83000">
              <a:srgbClr val="12284C">
                <a:lumMod val="45000"/>
                <a:lumOff val="55000"/>
              </a:srgbClr>
            </a:gs>
            <a:gs pos="100000">
              <a:srgbClr val="12284C">
                <a:lumMod val="30000"/>
                <a:lumOff val="70000"/>
              </a:srgbClr>
            </a:gs>
          </a:gsLst>
          <a:path path="circle">
            <a:fillToRect l="100000" t="100000"/>
          </a:path>
          <a:tileRect r="-100000" b="-100000"/>
        </a:gradFill>
        <a:ln>
          <a:solidFill>
            <a:srgbClr val="12284C"/>
          </a:solidFill>
        </a:ln>
      </c:spPr>
    </c:backWall>
    <c:plotArea>
      <c:layout>
        <c:manualLayout>
          <c:layoutTarget val="inner"/>
          <c:xMode val="edge"/>
          <c:yMode val="edge"/>
          <c:x val="3.0575644109563874E-2"/>
          <c:y val="0.16386807517302321"/>
          <c:w val="0.96942435589043607"/>
          <c:h val="0.72190394631117549"/>
        </c:manualLayout>
      </c:layout>
      <c:bar3DChart>
        <c:barDir val="col"/>
        <c:grouping val="clustered"/>
        <c:varyColors val="0"/>
        <c:ser>
          <c:idx val="0"/>
          <c:order val="0"/>
          <c:tx>
            <c:v>General Administration Expenditures</c:v>
          </c:tx>
          <c:spPr>
            <a:solidFill>
              <a:srgbClr val="FFA400"/>
            </a:solidFill>
            <a:ln>
              <a:solidFill>
                <a:srgbClr val="D28700"/>
              </a:solidFill>
            </a:ln>
          </c:spPr>
          <c:invertIfNegative val="0"/>
          <c:dPt>
            <c:idx val="1"/>
            <c:invertIfNegative val="0"/>
            <c:bubble3D val="0"/>
            <c:spPr>
              <a:solidFill>
                <a:srgbClr val="00B796"/>
              </a:solidFill>
              <a:ln>
                <a:solidFill>
                  <a:srgbClr val="008269"/>
                </a:solidFill>
              </a:ln>
            </c:spPr>
            <c:extLst>
              <c:ext xmlns:c16="http://schemas.microsoft.com/office/drawing/2014/chart" uri="{C3380CC4-5D6E-409C-BE32-E72D297353CC}">
                <c16:uniqueId val="{00000003-EA90-4AD3-ABE4-5B34F4836766}"/>
              </c:ext>
            </c:extLst>
          </c:dPt>
          <c:dPt>
            <c:idx val="2"/>
            <c:invertIfNegative val="0"/>
            <c:bubble3D val="0"/>
            <c:spPr>
              <a:solidFill>
                <a:srgbClr val="B7312C"/>
              </a:solidFill>
              <a:ln>
                <a:solidFill>
                  <a:srgbClr val="7F241F"/>
                </a:solidFill>
              </a:ln>
            </c:spPr>
            <c:extLst>
              <c:ext xmlns:c16="http://schemas.microsoft.com/office/drawing/2014/chart" uri="{C3380CC4-5D6E-409C-BE32-E72D297353CC}">
                <c16:uniqueId val="{00000004-EA90-4AD3-ABE4-5B34F4836766}"/>
              </c:ext>
            </c:extLst>
          </c:dPt>
          <c:dPt>
            <c:idx val="3"/>
            <c:invertIfNegative val="0"/>
            <c:bubble3D val="0"/>
            <c:spPr>
              <a:solidFill>
                <a:srgbClr val="005587"/>
              </a:solidFill>
              <a:ln>
                <a:solidFill>
                  <a:srgbClr val="12284C"/>
                </a:solidFill>
              </a:ln>
            </c:spPr>
            <c:extLst>
              <c:ext xmlns:c16="http://schemas.microsoft.com/office/drawing/2014/chart" uri="{C3380CC4-5D6E-409C-BE32-E72D297353CC}">
                <c16:uniqueId val="{00000005-D4E3-40AF-8345-71890A74772B}"/>
              </c:ext>
            </c:extLst>
          </c:dPt>
          <c:dPt>
            <c:idx val="4"/>
            <c:invertIfNegative val="0"/>
            <c:bubble3D val="0"/>
            <c:spPr>
              <a:solidFill>
                <a:srgbClr val="53565A"/>
              </a:solidFill>
              <a:ln>
                <a:solidFill>
                  <a:srgbClr val="383A3C"/>
                </a:solidFill>
              </a:ln>
            </c:spPr>
            <c:extLst>
              <c:ext xmlns:c16="http://schemas.microsoft.com/office/drawing/2014/chart" uri="{C3380CC4-5D6E-409C-BE32-E72D297353CC}">
                <c16:uniqueId val="{00000006-D4E3-40AF-8345-71890A74772B}"/>
              </c:ext>
            </c:extLst>
          </c:dPt>
          <c:dLbls>
            <c:dLbl>
              <c:idx val="0"/>
              <c:layout>
                <c:manualLayout>
                  <c:x val="1.0132073464371864E-2"/>
                  <c:y val="-3.8826413992771473E-2"/>
                </c:manualLayout>
              </c:layout>
              <c:spPr>
                <a:noFill/>
                <a:ln>
                  <a:noFill/>
                </a:ln>
                <a:effectLst/>
              </c:spPr>
              <c:txPr>
                <a:bodyPr vertOverflow="clip" horzOverflow="clip" wrap="square" lIns="38100" tIns="19050" rIns="38100" bIns="19050" anchor="ctr" anchorCtr="0">
                  <a:spAutoFit/>
                </a:bodyPr>
                <a:lstStyle/>
                <a:p>
                  <a:pPr algn="l">
                    <a:defRPr sz="900">
                      <a:latin typeface="Arial" panose="020B0604020202020204" pitchFamily="34" charset="0"/>
                      <a:ea typeface="Open Sans Light" panose="020B0306030504020204" pitchFamily="34" charset="0"/>
                      <a:cs typeface="Arial" panose="020B0604020202020204" pitchFamily="34" charset="0"/>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B89A-43E1-B6B0-9C74BAE5742A}"/>
                </c:ext>
              </c:extLst>
            </c:dLbl>
            <c:dLbl>
              <c:idx val="1"/>
              <c:layout>
                <c:manualLayout>
                  <c:x val="1.5129283485714557E-2"/>
                  <c:y val="-4.8005172389448875E-2"/>
                </c:manualLayout>
              </c:layout>
              <c:spPr>
                <a:noFill/>
                <a:ln>
                  <a:noFill/>
                </a:ln>
                <a:effectLst/>
              </c:spPr>
              <c:txPr>
                <a:bodyPr vertOverflow="clip" horzOverflow="clip" wrap="none" lIns="38100" tIns="19050" rIns="38100" bIns="19050" anchor="ctr" anchorCtr="0">
                  <a:spAutoFit/>
                </a:bodyPr>
                <a:lstStyle/>
                <a:p>
                  <a:pPr algn="l">
                    <a:defRPr sz="900">
                      <a:latin typeface="Arial" panose="020B0604020202020204" pitchFamily="34" charset="0"/>
                      <a:ea typeface="Open Sans Light" panose="020B0306030504020204" pitchFamily="34" charset="0"/>
                      <a:cs typeface="Arial" panose="020B0604020202020204" pitchFamily="34" charset="0"/>
                    </a:defRPr>
                  </a:pPr>
                  <a:endParaRPr lang="en-US"/>
                </a:p>
              </c:txP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3-EA90-4AD3-ABE4-5B34F4836766}"/>
                </c:ext>
              </c:extLst>
            </c:dLbl>
            <c:dLbl>
              <c:idx val="2"/>
              <c:layout>
                <c:manualLayout>
                  <c:x val="1.3026819748704328E-2"/>
                  <c:y val="-1.5037589533600872E-2"/>
                </c:manualLayout>
              </c:layout>
              <c:spPr>
                <a:noFill/>
                <a:ln>
                  <a:noFill/>
                </a:ln>
                <a:effectLst/>
              </c:spPr>
              <c:txPr>
                <a:bodyPr vertOverflow="clip" horzOverflow="clip" wrap="square" lIns="38100" tIns="19050" rIns="38100" bIns="19050" anchor="ctr" anchorCtr="0">
                  <a:spAutoFit/>
                </a:bodyPr>
                <a:lstStyle/>
                <a:p>
                  <a:pPr algn="l">
                    <a:defRPr sz="900">
                      <a:latin typeface="Arial" panose="020B0604020202020204" pitchFamily="34" charset="0"/>
                      <a:ea typeface="Open Sans Light" panose="020B0306030504020204" pitchFamily="34" charset="0"/>
                      <a:cs typeface="Arial" panose="020B0604020202020204" pitchFamily="34" charset="0"/>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EA90-4AD3-ABE4-5B34F4836766}"/>
                </c:ext>
              </c:extLst>
            </c:dLbl>
            <c:dLbl>
              <c:idx val="3"/>
              <c:layout>
                <c:manualLayout>
                  <c:x val="1.1579395332181518E-2"/>
                  <c:y val="-2.631578168380152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D4E3-40AF-8345-71890A74772B}"/>
                </c:ext>
              </c:extLst>
            </c:dLbl>
            <c:dLbl>
              <c:idx val="4"/>
              <c:layout>
                <c:manualLayout>
                  <c:x val="1.158161418747738E-2"/>
                  <c:y val="-2.674156309700396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D4E3-40AF-8345-71890A74772B}"/>
                </c:ext>
              </c:extLst>
            </c:dLbl>
            <c:spPr>
              <a:noFill/>
              <a:ln>
                <a:noFill/>
              </a:ln>
              <a:effectLst/>
            </c:spPr>
            <c:txPr>
              <a:bodyPr wrap="square" lIns="38100" tIns="19050" rIns="38100" bIns="19050" anchor="ctr" anchorCtr="0">
                <a:spAutoFit/>
              </a:bodyPr>
              <a:lstStyle/>
              <a:p>
                <a:pPr algn="l">
                  <a:defRPr sz="900">
                    <a:latin typeface="Arial" panose="020B0604020202020204" pitchFamily="34" charset="0"/>
                    <a:ea typeface="Open Sans Light" panose="020B0306030504020204" pitchFamily="34" charset="0"/>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SUMEXPEN!$P$563:$R$563</c:f>
              <c:strCache>
                <c:ptCount val="3"/>
                <c:pt idx="0">
                  <c:v>2023-2024</c:v>
                </c:pt>
                <c:pt idx="1">
                  <c:v>2024-2025</c:v>
                </c:pt>
                <c:pt idx="2">
                  <c:v>2025-2026</c:v>
                </c:pt>
              </c:strCache>
            </c:strRef>
          </c:cat>
          <c:val>
            <c:numRef>
              <c:f>SUMEXPEN!$P$564:$R$564</c:f>
              <c:numCache>
                <c:formatCode>"$"#,##0</c:formatCode>
                <c:ptCount val="3"/>
                <c:pt idx="0">
                  <c:v>137527</c:v>
                </c:pt>
                <c:pt idx="1">
                  <c:v>123495</c:v>
                </c:pt>
                <c:pt idx="2">
                  <c:v>148600</c:v>
                </c:pt>
              </c:numCache>
            </c:numRef>
          </c:val>
          <c:shape val="pyramid"/>
          <c:extLst>
            <c:ext xmlns:c16="http://schemas.microsoft.com/office/drawing/2014/chart" uri="{C3380CC4-5D6E-409C-BE32-E72D297353CC}">
              <c16:uniqueId val="{00000000-03ED-42F9-B639-8C83BB0EB494}"/>
            </c:ext>
          </c:extLst>
        </c:ser>
        <c:dLbls>
          <c:showLegendKey val="0"/>
          <c:showVal val="1"/>
          <c:showCatName val="0"/>
          <c:showSerName val="0"/>
          <c:showPercent val="0"/>
          <c:showBubbleSize val="0"/>
        </c:dLbls>
        <c:gapWidth val="150"/>
        <c:shape val="box"/>
        <c:axId val="128185088"/>
        <c:axId val="128186624"/>
        <c:axId val="0"/>
      </c:bar3DChart>
      <c:catAx>
        <c:axId val="128185088"/>
        <c:scaling>
          <c:orientation val="minMax"/>
        </c:scaling>
        <c:delete val="0"/>
        <c:axPos val="b"/>
        <c:numFmt formatCode="General" sourceLinked="1"/>
        <c:majorTickMark val="none"/>
        <c:minorTickMark val="none"/>
        <c:tickLblPos val="nextTo"/>
        <c:spPr>
          <a:noFill/>
        </c:spPr>
        <c:txPr>
          <a:bodyPr rot="0" anchor="t" anchorCtr="0"/>
          <a:lstStyle/>
          <a:p>
            <a:pPr>
              <a:defRPr sz="900" b="0" baseline="0">
                <a:solidFill>
                  <a:sysClr val="windowText" lastClr="000000"/>
                </a:solidFill>
                <a:latin typeface="Arial" panose="020B0604020202020204" pitchFamily="34" charset="0"/>
                <a:ea typeface="Open Sans" panose="020B0606030504020204" pitchFamily="34" charset="0"/>
                <a:cs typeface="Arial" panose="020B0604020202020204" pitchFamily="34" charset="0"/>
              </a:defRPr>
            </a:pPr>
            <a:endParaRPr lang="en-US"/>
          </a:p>
        </c:txPr>
        <c:crossAx val="128186624"/>
        <c:crosses val="autoZero"/>
        <c:auto val="1"/>
        <c:lblAlgn val="ctr"/>
        <c:lblOffset val="100"/>
        <c:noMultiLvlLbl val="0"/>
      </c:catAx>
      <c:valAx>
        <c:axId val="128186624"/>
        <c:scaling>
          <c:orientation val="minMax"/>
        </c:scaling>
        <c:delete val="0"/>
        <c:axPos val="l"/>
        <c:majorGridlines>
          <c:spPr>
            <a:ln>
              <a:solidFill>
                <a:srgbClr val="53565A"/>
              </a:solidFill>
            </a:ln>
          </c:spPr>
        </c:majorGridlines>
        <c:numFmt formatCode="&quot;$&quot;#,##0" sourceLinked="1"/>
        <c:majorTickMark val="none"/>
        <c:minorTickMark val="none"/>
        <c:tickLblPos val="nextTo"/>
        <c:spPr>
          <a:ln>
            <a:solidFill>
              <a:srgbClr val="53565A"/>
            </a:solidFill>
          </a:ln>
        </c:spPr>
        <c:txPr>
          <a:bodyPr/>
          <a:lstStyle/>
          <a:p>
            <a:pPr>
              <a:defRPr sz="900" baseline="0">
                <a:latin typeface="Arial" panose="020B0604020202020204" pitchFamily="34" charset="0"/>
                <a:ea typeface="Open Sans" panose="020B0606030504020204" pitchFamily="34" charset="0"/>
                <a:cs typeface="Arial" panose="020B0604020202020204" pitchFamily="34" charset="0"/>
              </a:defRPr>
            </a:pPr>
            <a:endParaRPr lang="en-US"/>
          </a:p>
        </c:txPr>
        <c:crossAx val="128185088"/>
        <c:crosses val="autoZero"/>
        <c:crossBetween val="between"/>
      </c:valAx>
      <c:spPr>
        <a:noFill/>
        <a:ln>
          <a:noFill/>
        </a:ln>
      </c:spPr>
    </c:plotArea>
    <c:plotVisOnly val="1"/>
    <c:dispBlanksAs val="gap"/>
    <c:showDLblsOverMax val="0"/>
  </c:chart>
  <c:spPr>
    <a:noFill/>
    <a:ln>
      <a:solidFill>
        <a:srgbClr val="53565A"/>
      </a:solidFill>
    </a:ln>
  </c:spPr>
  <c:printSettings>
    <c:headerFooter/>
    <c:pageMargins b="0.75" l="0.7" r="0.7" t="0.75" header="0.3" footer="0.3"/>
    <c:pageSetup orientation="portrait"/>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34"/>
    </mc:Choice>
    <mc:Fallback>
      <c:style val="34"/>
    </mc:Fallback>
  </mc:AlternateContent>
  <c:clrMapOvr bg1="lt1" tx1="dk1" bg2="lt2" tx2="dk2" accent1="accent1" accent2="accent2" accent3="accent3" accent4="accent4" accent5="accent5" accent6="accent6" hlink="hlink" folHlink="folHlink"/>
  <c:chart>
    <c:title>
      <c:tx>
        <c:rich>
          <a:bodyPr/>
          <a:lstStyle/>
          <a:p>
            <a:pPr>
              <a:defRPr sz="1400" b="0">
                <a:solidFill>
                  <a:srgbClr val="53565A"/>
                </a:solidFill>
                <a:latin typeface="Open Sans Semibold" panose="020B0706030804020204" pitchFamily="34" charset="0"/>
                <a:ea typeface="Open Sans Semibold" panose="020B0706030804020204" pitchFamily="34" charset="0"/>
                <a:cs typeface="Open Sans Semibold" panose="020B0706030804020204" pitchFamily="34" charset="0"/>
              </a:defRPr>
            </a:pPr>
            <a:r>
              <a:rPr lang="en-US">
                <a:latin typeface="Arial" panose="020B0604020202020204" pitchFamily="34" charset="0"/>
                <a:cs typeface="Arial" panose="020B0604020202020204" pitchFamily="34" charset="0"/>
              </a:rPr>
              <a:t>School Administration Expenditures (2400)</a:t>
            </a:r>
          </a:p>
        </c:rich>
      </c:tx>
      <c:layout>
        <c:manualLayout>
          <c:xMode val="edge"/>
          <c:yMode val="edge"/>
          <c:x val="0.34079309687107945"/>
          <c:y val="4.3923768154309505E-2"/>
        </c:manualLayout>
      </c:layout>
      <c:overlay val="0"/>
    </c:title>
    <c:autoTitleDeleted val="0"/>
    <c:view3D>
      <c:rotX val="15"/>
      <c:rotY val="20"/>
      <c:depthPercent val="100"/>
      <c:rAngAx val="1"/>
    </c:view3D>
    <c:floor>
      <c:thickness val="0"/>
      <c:spPr>
        <a:gradFill flip="none" rotWithShape="1">
          <a:gsLst>
            <a:gs pos="0">
              <a:srgbClr val="12284C">
                <a:lumMod val="5000"/>
                <a:lumOff val="95000"/>
              </a:srgbClr>
            </a:gs>
            <a:gs pos="74000">
              <a:srgbClr val="12284C">
                <a:lumMod val="45000"/>
                <a:lumOff val="55000"/>
              </a:srgbClr>
            </a:gs>
            <a:gs pos="83000">
              <a:srgbClr val="12284C">
                <a:lumMod val="45000"/>
                <a:lumOff val="55000"/>
              </a:srgbClr>
            </a:gs>
            <a:gs pos="100000">
              <a:srgbClr val="12284C">
                <a:lumMod val="30000"/>
                <a:lumOff val="70000"/>
              </a:srgbClr>
            </a:gs>
          </a:gsLst>
          <a:path path="circle">
            <a:fillToRect l="100000" t="100000"/>
          </a:path>
          <a:tileRect r="-100000" b="-100000"/>
        </a:gradFill>
        <a:ln>
          <a:solidFill>
            <a:srgbClr val="12284C"/>
          </a:solidFill>
        </a:ln>
      </c:spPr>
    </c:floor>
    <c:sideWall>
      <c:thickness val="0"/>
      <c:spPr>
        <a:gradFill flip="none" rotWithShape="1">
          <a:gsLst>
            <a:gs pos="0">
              <a:srgbClr val="12284C">
                <a:lumMod val="5000"/>
                <a:lumOff val="95000"/>
              </a:srgbClr>
            </a:gs>
            <a:gs pos="74000">
              <a:srgbClr val="12284C">
                <a:lumMod val="45000"/>
                <a:lumOff val="55000"/>
              </a:srgbClr>
            </a:gs>
            <a:gs pos="83000">
              <a:srgbClr val="12284C">
                <a:lumMod val="45000"/>
                <a:lumOff val="55000"/>
              </a:srgbClr>
            </a:gs>
            <a:gs pos="100000">
              <a:srgbClr val="12284C">
                <a:lumMod val="30000"/>
                <a:lumOff val="70000"/>
              </a:srgbClr>
            </a:gs>
          </a:gsLst>
          <a:path path="circle">
            <a:fillToRect l="100000" t="100000"/>
          </a:path>
          <a:tileRect r="-100000" b="-100000"/>
        </a:gradFill>
        <a:ln>
          <a:solidFill>
            <a:srgbClr val="12284C"/>
          </a:solidFill>
        </a:ln>
      </c:spPr>
    </c:sideWall>
    <c:backWall>
      <c:thickness val="0"/>
      <c:spPr>
        <a:gradFill flip="none" rotWithShape="1">
          <a:gsLst>
            <a:gs pos="0">
              <a:srgbClr val="12284C">
                <a:lumMod val="5000"/>
                <a:lumOff val="95000"/>
              </a:srgbClr>
            </a:gs>
            <a:gs pos="74000">
              <a:srgbClr val="12284C">
                <a:lumMod val="45000"/>
                <a:lumOff val="55000"/>
              </a:srgbClr>
            </a:gs>
            <a:gs pos="83000">
              <a:srgbClr val="12284C">
                <a:lumMod val="45000"/>
                <a:lumOff val="55000"/>
              </a:srgbClr>
            </a:gs>
            <a:gs pos="100000">
              <a:srgbClr val="12284C">
                <a:lumMod val="30000"/>
                <a:lumOff val="70000"/>
              </a:srgbClr>
            </a:gs>
          </a:gsLst>
          <a:path path="circle">
            <a:fillToRect l="100000" t="100000"/>
          </a:path>
          <a:tileRect r="-100000" b="-100000"/>
        </a:gradFill>
        <a:ln>
          <a:solidFill>
            <a:srgbClr val="12284C"/>
          </a:solidFill>
        </a:ln>
      </c:spPr>
    </c:backWall>
    <c:plotArea>
      <c:layout>
        <c:manualLayout>
          <c:layoutTarget val="inner"/>
          <c:xMode val="edge"/>
          <c:yMode val="edge"/>
          <c:x val="3.0575644109563874E-2"/>
          <c:y val="0.16386807517302321"/>
          <c:w val="0.96942435589043607"/>
          <c:h val="0.72190394631117549"/>
        </c:manualLayout>
      </c:layout>
      <c:bar3DChart>
        <c:barDir val="col"/>
        <c:grouping val="clustered"/>
        <c:varyColors val="0"/>
        <c:ser>
          <c:idx val="0"/>
          <c:order val="0"/>
          <c:tx>
            <c:v>School Administration Expenditures</c:v>
          </c:tx>
          <c:spPr>
            <a:solidFill>
              <a:srgbClr val="FFA400"/>
            </a:solidFill>
            <a:ln>
              <a:solidFill>
                <a:srgbClr val="D28700"/>
              </a:solidFill>
            </a:ln>
          </c:spPr>
          <c:invertIfNegative val="0"/>
          <c:dPt>
            <c:idx val="1"/>
            <c:invertIfNegative val="0"/>
            <c:bubble3D val="0"/>
            <c:spPr>
              <a:solidFill>
                <a:srgbClr val="00B796"/>
              </a:solidFill>
              <a:ln>
                <a:solidFill>
                  <a:srgbClr val="008269"/>
                </a:solidFill>
              </a:ln>
            </c:spPr>
            <c:extLst>
              <c:ext xmlns:c16="http://schemas.microsoft.com/office/drawing/2014/chart" uri="{C3380CC4-5D6E-409C-BE32-E72D297353CC}">
                <c16:uniqueId val="{00000003-EA90-4AD3-ABE4-5B34F4836766}"/>
              </c:ext>
            </c:extLst>
          </c:dPt>
          <c:dPt>
            <c:idx val="2"/>
            <c:invertIfNegative val="0"/>
            <c:bubble3D val="0"/>
            <c:spPr>
              <a:solidFill>
                <a:srgbClr val="B7312C"/>
              </a:solidFill>
              <a:ln>
                <a:solidFill>
                  <a:srgbClr val="7F241F"/>
                </a:solidFill>
              </a:ln>
            </c:spPr>
            <c:extLst>
              <c:ext xmlns:c16="http://schemas.microsoft.com/office/drawing/2014/chart" uri="{C3380CC4-5D6E-409C-BE32-E72D297353CC}">
                <c16:uniqueId val="{00000004-EA90-4AD3-ABE4-5B34F4836766}"/>
              </c:ext>
            </c:extLst>
          </c:dPt>
          <c:dPt>
            <c:idx val="3"/>
            <c:invertIfNegative val="0"/>
            <c:bubble3D val="0"/>
            <c:spPr>
              <a:solidFill>
                <a:srgbClr val="005587"/>
              </a:solidFill>
              <a:ln>
                <a:solidFill>
                  <a:srgbClr val="12284C"/>
                </a:solidFill>
              </a:ln>
            </c:spPr>
            <c:extLst>
              <c:ext xmlns:c16="http://schemas.microsoft.com/office/drawing/2014/chart" uri="{C3380CC4-5D6E-409C-BE32-E72D297353CC}">
                <c16:uniqueId val="{00000005-D4E3-40AF-8345-71890A74772B}"/>
              </c:ext>
            </c:extLst>
          </c:dPt>
          <c:dPt>
            <c:idx val="4"/>
            <c:invertIfNegative val="0"/>
            <c:bubble3D val="0"/>
            <c:spPr>
              <a:solidFill>
                <a:srgbClr val="53565A"/>
              </a:solidFill>
              <a:ln>
                <a:solidFill>
                  <a:srgbClr val="383A3C"/>
                </a:solidFill>
              </a:ln>
            </c:spPr>
            <c:extLst>
              <c:ext xmlns:c16="http://schemas.microsoft.com/office/drawing/2014/chart" uri="{C3380CC4-5D6E-409C-BE32-E72D297353CC}">
                <c16:uniqueId val="{00000006-D4E3-40AF-8345-71890A74772B}"/>
              </c:ext>
            </c:extLst>
          </c:dPt>
          <c:dLbls>
            <c:dLbl>
              <c:idx val="0"/>
              <c:layout>
                <c:manualLayout>
                  <c:x val="1.0132073464371864E-2"/>
                  <c:y val="-3.8826413992771473E-2"/>
                </c:manualLayout>
              </c:layout>
              <c:spPr>
                <a:noFill/>
                <a:ln>
                  <a:noFill/>
                </a:ln>
                <a:effectLst/>
              </c:spPr>
              <c:txPr>
                <a:bodyPr vertOverflow="clip" horzOverflow="clip" wrap="square" lIns="38100" tIns="19050" rIns="38100" bIns="19050" anchor="ctr" anchorCtr="0">
                  <a:spAutoFit/>
                </a:bodyPr>
                <a:lstStyle/>
                <a:p>
                  <a:pPr algn="l">
                    <a:defRPr sz="900">
                      <a:latin typeface="Arial" panose="020B0604020202020204" pitchFamily="34" charset="0"/>
                      <a:ea typeface="Open Sans Light" panose="020B0306030504020204" pitchFamily="34" charset="0"/>
                      <a:cs typeface="Arial" panose="020B0604020202020204" pitchFamily="34" charset="0"/>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B89A-43E1-B6B0-9C74BAE5742A}"/>
                </c:ext>
              </c:extLst>
            </c:dLbl>
            <c:dLbl>
              <c:idx val="1"/>
              <c:layout>
                <c:manualLayout>
                  <c:x val="1.5129283485714557E-2"/>
                  <c:y val="-4.8005172389448875E-2"/>
                </c:manualLayout>
              </c:layout>
              <c:spPr>
                <a:noFill/>
                <a:ln>
                  <a:noFill/>
                </a:ln>
                <a:effectLst/>
              </c:spPr>
              <c:txPr>
                <a:bodyPr vertOverflow="clip" horzOverflow="clip" wrap="none" lIns="38100" tIns="19050" rIns="38100" bIns="19050" anchor="ctr" anchorCtr="0">
                  <a:spAutoFit/>
                </a:bodyPr>
                <a:lstStyle/>
                <a:p>
                  <a:pPr algn="l">
                    <a:defRPr sz="900">
                      <a:latin typeface="Arial" panose="020B0604020202020204" pitchFamily="34" charset="0"/>
                      <a:ea typeface="Open Sans Light" panose="020B0306030504020204" pitchFamily="34" charset="0"/>
                      <a:cs typeface="Arial" panose="020B0604020202020204" pitchFamily="34" charset="0"/>
                    </a:defRPr>
                  </a:pPr>
                  <a:endParaRPr lang="en-US"/>
                </a:p>
              </c:txP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3-EA90-4AD3-ABE4-5B34F4836766}"/>
                </c:ext>
              </c:extLst>
            </c:dLbl>
            <c:dLbl>
              <c:idx val="2"/>
              <c:layout>
                <c:manualLayout>
                  <c:x val="1.3026819748704328E-2"/>
                  <c:y val="-1.5037589533600872E-2"/>
                </c:manualLayout>
              </c:layout>
              <c:spPr>
                <a:noFill/>
                <a:ln>
                  <a:noFill/>
                </a:ln>
                <a:effectLst/>
              </c:spPr>
              <c:txPr>
                <a:bodyPr vertOverflow="clip" horzOverflow="clip" wrap="square" lIns="38100" tIns="19050" rIns="38100" bIns="19050" anchor="ctr" anchorCtr="0">
                  <a:spAutoFit/>
                </a:bodyPr>
                <a:lstStyle/>
                <a:p>
                  <a:pPr algn="l">
                    <a:defRPr sz="900">
                      <a:latin typeface="Arial" panose="020B0604020202020204" pitchFamily="34" charset="0"/>
                      <a:ea typeface="Open Sans Light" panose="020B0306030504020204" pitchFamily="34" charset="0"/>
                      <a:cs typeface="Arial" panose="020B0604020202020204" pitchFamily="34" charset="0"/>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EA90-4AD3-ABE4-5B34F4836766}"/>
                </c:ext>
              </c:extLst>
            </c:dLbl>
            <c:dLbl>
              <c:idx val="3"/>
              <c:layout>
                <c:manualLayout>
                  <c:x val="1.1579395332181518E-2"/>
                  <c:y val="-2.631578168380152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D4E3-40AF-8345-71890A74772B}"/>
                </c:ext>
              </c:extLst>
            </c:dLbl>
            <c:dLbl>
              <c:idx val="4"/>
              <c:layout>
                <c:manualLayout>
                  <c:x val="1.158161418747738E-2"/>
                  <c:y val="-2.674156309700396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D4E3-40AF-8345-71890A74772B}"/>
                </c:ext>
              </c:extLst>
            </c:dLbl>
            <c:spPr>
              <a:noFill/>
              <a:ln>
                <a:noFill/>
              </a:ln>
              <a:effectLst/>
            </c:spPr>
            <c:txPr>
              <a:bodyPr wrap="square" lIns="38100" tIns="19050" rIns="38100" bIns="19050" anchor="ctr" anchorCtr="0">
                <a:spAutoFit/>
              </a:bodyPr>
              <a:lstStyle/>
              <a:p>
                <a:pPr algn="l">
                  <a:defRPr sz="900">
                    <a:latin typeface="Arial" panose="020B0604020202020204" pitchFamily="34" charset="0"/>
                    <a:ea typeface="Open Sans Light" panose="020B0306030504020204" pitchFamily="34" charset="0"/>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SUMEXPEN!$P$629:$R$629</c:f>
              <c:strCache>
                <c:ptCount val="3"/>
                <c:pt idx="0">
                  <c:v>2023-2024</c:v>
                </c:pt>
                <c:pt idx="1">
                  <c:v>2024-2025</c:v>
                </c:pt>
                <c:pt idx="2">
                  <c:v>2025-2026</c:v>
                </c:pt>
              </c:strCache>
            </c:strRef>
          </c:cat>
          <c:val>
            <c:numRef>
              <c:f>SUMEXPEN!$P$630:$R$630</c:f>
              <c:numCache>
                <c:formatCode>"$"#,##0</c:formatCode>
                <c:ptCount val="3"/>
                <c:pt idx="0">
                  <c:v>118668</c:v>
                </c:pt>
                <c:pt idx="1">
                  <c:v>140183</c:v>
                </c:pt>
                <c:pt idx="2">
                  <c:v>118317</c:v>
                </c:pt>
              </c:numCache>
            </c:numRef>
          </c:val>
          <c:shape val="pyramid"/>
          <c:extLst>
            <c:ext xmlns:c16="http://schemas.microsoft.com/office/drawing/2014/chart" uri="{C3380CC4-5D6E-409C-BE32-E72D297353CC}">
              <c16:uniqueId val="{00000000-03ED-42F9-B639-8C83BB0EB494}"/>
            </c:ext>
          </c:extLst>
        </c:ser>
        <c:dLbls>
          <c:showLegendKey val="0"/>
          <c:showVal val="1"/>
          <c:showCatName val="0"/>
          <c:showSerName val="0"/>
          <c:showPercent val="0"/>
          <c:showBubbleSize val="0"/>
        </c:dLbls>
        <c:gapWidth val="150"/>
        <c:shape val="box"/>
        <c:axId val="128185088"/>
        <c:axId val="128186624"/>
        <c:axId val="0"/>
      </c:bar3DChart>
      <c:catAx>
        <c:axId val="128185088"/>
        <c:scaling>
          <c:orientation val="minMax"/>
        </c:scaling>
        <c:delete val="0"/>
        <c:axPos val="b"/>
        <c:numFmt formatCode="General" sourceLinked="1"/>
        <c:majorTickMark val="none"/>
        <c:minorTickMark val="none"/>
        <c:tickLblPos val="nextTo"/>
        <c:spPr>
          <a:noFill/>
        </c:spPr>
        <c:txPr>
          <a:bodyPr rot="0" anchor="t" anchorCtr="0"/>
          <a:lstStyle/>
          <a:p>
            <a:pPr>
              <a:defRPr sz="900" b="0" baseline="0">
                <a:solidFill>
                  <a:sysClr val="windowText" lastClr="000000"/>
                </a:solidFill>
                <a:latin typeface="Arial" panose="020B0604020202020204" pitchFamily="34" charset="0"/>
                <a:ea typeface="Open Sans" panose="020B0606030504020204" pitchFamily="34" charset="0"/>
                <a:cs typeface="Arial" panose="020B0604020202020204" pitchFamily="34" charset="0"/>
              </a:defRPr>
            </a:pPr>
            <a:endParaRPr lang="en-US"/>
          </a:p>
        </c:txPr>
        <c:crossAx val="128186624"/>
        <c:crosses val="autoZero"/>
        <c:auto val="1"/>
        <c:lblAlgn val="ctr"/>
        <c:lblOffset val="100"/>
        <c:noMultiLvlLbl val="0"/>
      </c:catAx>
      <c:valAx>
        <c:axId val="128186624"/>
        <c:scaling>
          <c:orientation val="minMax"/>
        </c:scaling>
        <c:delete val="0"/>
        <c:axPos val="l"/>
        <c:majorGridlines>
          <c:spPr>
            <a:ln>
              <a:solidFill>
                <a:srgbClr val="53565A"/>
              </a:solidFill>
            </a:ln>
          </c:spPr>
        </c:majorGridlines>
        <c:numFmt formatCode="&quot;$&quot;#,##0" sourceLinked="1"/>
        <c:majorTickMark val="none"/>
        <c:minorTickMark val="none"/>
        <c:tickLblPos val="nextTo"/>
        <c:spPr>
          <a:ln>
            <a:solidFill>
              <a:srgbClr val="53565A"/>
            </a:solidFill>
          </a:ln>
        </c:spPr>
        <c:txPr>
          <a:bodyPr/>
          <a:lstStyle/>
          <a:p>
            <a:pPr>
              <a:defRPr sz="900" baseline="0">
                <a:latin typeface="Arial" panose="020B0604020202020204" pitchFamily="34" charset="0"/>
                <a:ea typeface="Open Sans" panose="020B0606030504020204" pitchFamily="34" charset="0"/>
                <a:cs typeface="Arial" panose="020B0604020202020204" pitchFamily="34" charset="0"/>
              </a:defRPr>
            </a:pPr>
            <a:endParaRPr lang="en-US"/>
          </a:p>
        </c:txPr>
        <c:crossAx val="128185088"/>
        <c:crosses val="autoZero"/>
        <c:crossBetween val="between"/>
      </c:valAx>
      <c:spPr>
        <a:noFill/>
        <a:ln>
          <a:noFill/>
        </a:ln>
      </c:spPr>
    </c:plotArea>
    <c:plotVisOnly val="1"/>
    <c:dispBlanksAs val="gap"/>
    <c:showDLblsOverMax val="0"/>
  </c:chart>
  <c:spPr>
    <a:noFill/>
    <a:ln>
      <a:solidFill>
        <a:srgbClr val="53565A"/>
      </a:solidFill>
    </a:ln>
  </c:spPr>
  <c:printSettings>
    <c:headerFooter/>
    <c:pageMargins b="0.75" l="0.7" r="0.7" t="0.75" header="0.3" footer="0.3"/>
    <c:pageSetup orientation="portrait"/>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34"/>
    </mc:Choice>
    <mc:Fallback>
      <c:style val="34"/>
    </mc:Fallback>
  </mc:AlternateContent>
  <c:clrMapOvr bg1="lt1" tx1="dk1" bg2="lt2" tx2="dk2" accent1="accent1" accent2="accent2" accent3="accent3" accent4="accent4" accent5="accent5" accent6="accent6" hlink="hlink" folHlink="folHlink"/>
  <c:chart>
    <c:title>
      <c:tx>
        <c:rich>
          <a:bodyPr/>
          <a:lstStyle/>
          <a:p>
            <a:pPr>
              <a:defRPr sz="1400" b="0">
                <a:solidFill>
                  <a:srgbClr val="53565A"/>
                </a:solidFill>
                <a:latin typeface="Arial" panose="020B0604020202020204" pitchFamily="34" charset="0"/>
                <a:ea typeface="Open Sans Semibold" panose="020B0706030804020204" pitchFamily="34" charset="0"/>
                <a:cs typeface="Arial" panose="020B0604020202020204" pitchFamily="34" charset="0"/>
              </a:defRPr>
            </a:pPr>
            <a:r>
              <a:rPr lang="en-US">
                <a:latin typeface="Arial" panose="020B0604020202020204" pitchFamily="34" charset="0"/>
                <a:cs typeface="Arial" panose="020B0604020202020204" pitchFamily="34" charset="0"/>
              </a:rPr>
              <a:t>Operations and Maintenance Expenditures (2600)</a:t>
            </a:r>
          </a:p>
        </c:rich>
      </c:tx>
      <c:layout>
        <c:manualLayout>
          <c:xMode val="edge"/>
          <c:yMode val="edge"/>
          <c:x val="0.34079309687107945"/>
          <c:y val="4.3923768154309505E-2"/>
        </c:manualLayout>
      </c:layout>
      <c:overlay val="0"/>
    </c:title>
    <c:autoTitleDeleted val="0"/>
    <c:view3D>
      <c:rotX val="15"/>
      <c:rotY val="20"/>
      <c:depthPercent val="100"/>
      <c:rAngAx val="1"/>
    </c:view3D>
    <c:floor>
      <c:thickness val="0"/>
      <c:spPr>
        <a:gradFill flip="none" rotWithShape="1">
          <a:gsLst>
            <a:gs pos="0">
              <a:srgbClr val="12284C">
                <a:lumMod val="5000"/>
                <a:lumOff val="95000"/>
              </a:srgbClr>
            </a:gs>
            <a:gs pos="74000">
              <a:srgbClr val="12284C">
                <a:lumMod val="45000"/>
                <a:lumOff val="55000"/>
              </a:srgbClr>
            </a:gs>
            <a:gs pos="83000">
              <a:srgbClr val="12284C">
                <a:lumMod val="45000"/>
                <a:lumOff val="55000"/>
              </a:srgbClr>
            </a:gs>
            <a:gs pos="100000">
              <a:srgbClr val="12284C">
                <a:lumMod val="30000"/>
                <a:lumOff val="70000"/>
              </a:srgbClr>
            </a:gs>
          </a:gsLst>
          <a:path path="circle">
            <a:fillToRect l="100000" t="100000"/>
          </a:path>
          <a:tileRect r="-100000" b="-100000"/>
        </a:gradFill>
        <a:ln>
          <a:solidFill>
            <a:srgbClr val="12284C"/>
          </a:solidFill>
        </a:ln>
      </c:spPr>
    </c:floor>
    <c:sideWall>
      <c:thickness val="0"/>
      <c:spPr>
        <a:gradFill flip="none" rotWithShape="1">
          <a:gsLst>
            <a:gs pos="0">
              <a:srgbClr val="12284C">
                <a:lumMod val="5000"/>
                <a:lumOff val="95000"/>
              </a:srgbClr>
            </a:gs>
            <a:gs pos="74000">
              <a:srgbClr val="12284C">
                <a:lumMod val="45000"/>
                <a:lumOff val="55000"/>
              </a:srgbClr>
            </a:gs>
            <a:gs pos="83000">
              <a:srgbClr val="12284C">
                <a:lumMod val="45000"/>
                <a:lumOff val="55000"/>
              </a:srgbClr>
            </a:gs>
            <a:gs pos="100000">
              <a:srgbClr val="12284C">
                <a:lumMod val="30000"/>
                <a:lumOff val="70000"/>
              </a:srgbClr>
            </a:gs>
          </a:gsLst>
          <a:path path="circle">
            <a:fillToRect l="100000" t="100000"/>
          </a:path>
          <a:tileRect r="-100000" b="-100000"/>
        </a:gradFill>
        <a:ln>
          <a:solidFill>
            <a:srgbClr val="12284C"/>
          </a:solidFill>
        </a:ln>
      </c:spPr>
    </c:sideWall>
    <c:backWall>
      <c:thickness val="0"/>
      <c:spPr>
        <a:gradFill flip="none" rotWithShape="1">
          <a:gsLst>
            <a:gs pos="0">
              <a:srgbClr val="12284C">
                <a:lumMod val="5000"/>
                <a:lumOff val="95000"/>
              </a:srgbClr>
            </a:gs>
            <a:gs pos="74000">
              <a:srgbClr val="12284C">
                <a:lumMod val="45000"/>
                <a:lumOff val="55000"/>
              </a:srgbClr>
            </a:gs>
            <a:gs pos="83000">
              <a:srgbClr val="12284C">
                <a:lumMod val="45000"/>
                <a:lumOff val="55000"/>
              </a:srgbClr>
            </a:gs>
            <a:gs pos="100000">
              <a:srgbClr val="12284C">
                <a:lumMod val="30000"/>
                <a:lumOff val="70000"/>
              </a:srgbClr>
            </a:gs>
          </a:gsLst>
          <a:path path="circle">
            <a:fillToRect l="100000" t="100000"/>
          </a:path>
          <a:tileRect r="-100000" b="-100000"/>
        </a:gradFill>
        <a:ln>
          <a:solidFill>
            <a:srgbClr val="12284C"/>
          </a:solidFill>
        </a:ln>
      </c:spPr>
    </c:backWall>
    <c:plotArea>
      <c:layout>
        <c:manualLayout>
          <c:layoutTarget val="inner"/>
          <c:xMode val="edge"/>
          <c:yMode val="edge"/>
          <c:x val="3.0575644109563874E-2"/>
          <c:y val="0.16386807517302321"/>
          <c:w val="0.96942435589043607"/>
          <c:h val="0.72190394631117549"/>
        </c:manualLayout>
      </c:layout>
      <c:bar3DChart>
        <c:barDir val="col"/>
        <c:grouping val="clustered"/>
        <c:varyColors val="0"/>
        <c:ser>
          <c:idx val="0"/>
          <c:order val="0"/>
          <c:tx>
            <c:v>Operations and Maintenance Expenditures</c:v>
          </c:tx>
          <c:spPr>
            <a:solidFill>
              <a:srgbClr val="FFA400"/>
            </a:solidFill>
            <a:ln>
              <a:solidFill>
                <a:srgbClr val="D28700"/>
              </a:solidFill>
            </a:ln>
          </c:spPr>
          <c:invertIfNegative val="0"/>
          <c:dPt>
            <c:idx val="1"/>
            <c:invertIfNegative val="0"/>
            <c:bubble3D val="0"/>
            <c:spPr>
              <a:solidFill>
                <a:srgbClr val="00B796"/>
              </a:solidFill>
              <a:ln>
                <a:solidFill>
                  <a:srgbClr val="008269"/>
                </a:solidFill>
              </a:ln>
            </c:spPr>
            <c:extLst>
              <c:ext xmlns:c16="http://schemas.microsoft.com/office/drawing/2014/chart" uri="{C3380CC4-5D6E-409C-BE32-E72D297353CC}">
                <c16:uniqueId val="{00000003-EA90-4AD3-ABE4-5B34F4836766}"/>
              </c:ext>
            </c:extLst>
          </c:dPt>
          <c:dPt>
            <c:idx val="2"/>
            <c:invertIfNegative val="0"/>
            <c:bubble3D val="0"/>
            <c:spPr>
              <a:solidFill>
                <a:srgbClr val="B7312C"/>
              </a:solidFill>
              <a:ln>
                <a:solidFill>
                  <a:srgbClr val="7F241F"/>
                </a:solidFill>
              </a:ln>
            </c:spPr>
            <c:extLst>
              <c:ext xmlns:c16="http://schemas.microsoft.com/office/drawing/2014/chart" uri="{C3380CC4-5D6E-409C-BE32-E72D297353CC}">
                <c16:uniqueId val="{00000004-EA90-4AD3-ABE4-5B34F4836766}"/>
              </c:ext>
            </c:extLst>
          </c:dPt>
          <c:dPt>
            <c:idx val="3"/>
            <c:invertIfNegative val="0"/>
            <c:bubble3D val="0"/>
            <c:spPr>
              <a:solidFill>
                <a:srgbClr val="005587"/>
              </a:solidFill>
              <a:ln>
                <a:solidFill>
                  <a:srgbClr val="12284C"/>
                </a:solidFill>
              </a:ln>
            </c:spPr>
            <c:extLst>
              <c:ext xmlns:c16="http://schemas.microsoft.com/office/drawing/2014/chart" uri="{C3380CC4-5D6E-409C-BE32-E72D297353CC}">
                <c16:uniqueId val="{00000005-D4E3-40AF-8345-71890A74772B}"/>
              </c:ext>
            </c:extLst>
          </c:dPt>
          <c:dPt>
            <c:idx val="4"/>
            <c:invertIfNegative val="0"/>
            <c:bubble3D val="0"/>
            <c:spPr>
              <a:solidFill>
                <a:srgbClr val="53565A"/>
              </a:solidFill>
              <a:ln>
                <a:solidFill>
                  <a:srgbClr val="383A3C"/>
                </a:solidFill>
              </a:ln>
            </c:spPr>
            <c:extLst>
              <c:ext xmlns:c16="http://schemas.microsoft.com/office/drawing/2014/chart" uri="{C3380CC4-5D6E-409C-BE32-E72D297353CC}">
                <c16:uniqueId val="{00000006-D4E3-40AF-8345-71890A74772B}"/>
              </c:ext>
            </c:extLst>
          </c:dPt>
          <c:dLbls>
            <c:dLbl>
              <c:idx val="0"/>
              <c:layout>
                <c:manualLayout>
                  <c:x val="1.0132073464371864E-2"/>
                  <c:y val="-3.8826413992771473E-2"/>
                </c:manualLayout>
              </c:layout>
              <c:spPr>
                <a:noFill/>
                <a:ln>
                  <a:noFill/>
                </a:ln>
                <a:effectLst/>
              </c:spPr>
              <c:txPr>
                <a:bodyPr vertOverflow="clip" horzOverflow="clip" wrap="square" lIns="38100" tIns="19050" rIns="38100" bIns="19050" anchor="ctr" anchorCtr="0">
                  <a:spAutoFit/>
                </a:bodyPr>
                <a:lstStyle/>
                <a:p>
                  <a:pPr algn="l">
                    <a:defRPr sz="900">
                      <a:latin typeface="Arial" panose="020B0604020202020204" pitchFamily="34" charset="0"/>
                      <a:ea typeface="Open Sans Light" panose="020B0306030504020204" pitchFamily="34" charset="0"/>
                      <a:cs typeface="Arial" panose="020B0604020202020204" pitchFamily="34" charset="0"/>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B89A-43E1-B6B0-9C74BAE5742A}"/>
                </c:ext>
              </c:extLst>
            </c:dLbl>
            <c:dLbl>
              <c:idx val="1"/>
              <c:layout>
                <c:manualLayout>
                  <c:x val="1.5129283485714557E-2"/>
                  <c:y val="-4.8005172389448875E-2"/>
                </c:manualLayout>
              </c:layout>
              <c:spPr>
                <a:noFill/>
                <a:ln>
                  <a:noFill/>
                </a:ln>
                <a:effectLst/>
              </c:spPr>
              <c:txPr>
                <a:bodyPr vertOverflow="clip" horzOverflow="clip" wrap="none" lIns="38100" tIns="19050" rIns="38100" bIns="19050" anchor="ctr" anchorCtr="0">
                  <a:spAutoFit/>
                </a:bodyPr>
                <a:lstStyle/>
                <a:p>
                  <a:pPr algn="l">
                    <a:defRPr sz="900">
                      <a:latin typeface="Arial" panose="020B0604020202020204" pitchFamily="34" charset="0"/>
                      <a:ea typeface="Open Sans Light" panose="020B0306030504020204" pitchFamily="34" charset="0"/>
                      <a:cs typeface="Arial" panose="020B0604020202020204" pitchFamily="34" charset="0"/>
                    </a:defRPr>
                  </a:pPr>
                  <a:endParaRPr lang="en-US"/>
                </a:p>
              </c:txP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3-EA90-4AD3-ABE4-5B34F4836766}"/>
                </c:ext>
              </c:extLst>
            </c:dLbl>
            <c:dLbl>
              <c:idx val="2"/>
              <c:layout>
                <c:manualLayout>
                  <c:x val="1.3026819748704328E-2"/>
                  <c:y val="-1.5037589533600872E-2"/>
                </c:manualLayout>
              </c:layout>
              <c:spPr>
                <a:noFill/>
                <a:ln>
                  <a:noFill/>
                </a:ln>
                <a:effectLst/>
              </c:spPr>
              <c:txPr>
                <a:bodyPr vertOverflow="clip" horzOverflow="clip" wrap="square" lIns="38100" tIns="19050" rIns="38100" bIns="19050" anchor="ctr" anchorCtr="0">
                  <a:spAutoFit/>
                </a:bodyPr>
                <a:lstStyle/>
                <a:p>
                  <a:pPr algn="l">
                    <a:defRPr sz="900">
                      <a:latin typeface="Arial" panose="020B0604020202020204" pitchFamily="34" charset="0"/>
                      <a:ea typeface="Open Sans Light" panose="020B0306030504020204" pitchFamily="34" charset="0"/>
                      <a:cs typeface="Arial" panose="020B0604020202020204" pitchFamily="34" charset="0"/>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EA90-4AD3-ABE4-5B34F4836766}"/>
                </c:ext>
              </c:extLst>
            </c:dLbl>
            <c:dLbl>
              <c:idx val="3"/>
              <c:layout>
                <c:manualLayout>
                  <c:x val="1.1579395332181518E-2"/>
                  <c:y val="-2.631578168380152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D4E3-40AF-8345-71890A74772B}"/>
                </c:ext>
              </c:extLst>
            </c:dLbl>
            <c:dLbl>
              <c:idx val="4"/>
              <c:layout>
                <c:manualLayout>
                  <c:x val="1.158161418747738E-2"/>
                  <c:y val="-2.674156309700396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D4E3-40AF-8345-71890A74772B}"/>
                </c:ext>
              </c:extLst>
            </c:dLbl>
            <c:spPr>
              <a:noFill/>
              <a:ln>
                <a:noFill/>
              </a:ln>
              <a:effectLst/>
            </c:spPr>
            <c:txPr>
              <a:bodyPr wrap="square" lIns="38100" tIns="19050" rIns="38100" bIns="19050" anchor="ctr" anchorCtr="0">
                <a:spAutoFit/>
              </a:bodyPr>
              <a:lstStyle/>
              <a:p>
                <a:pPr algn="l">
                  <a:defRPr sz="900">
                    <a:latin typeface="Arial" panose="020B0604020202020204" pitchFamily="34" charset="0"/>
                    <a:ea typeface="Open Sans Light" panose="020B0306030504020204" pitchFamily="34" charset="0"/>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SUMEXPEN!$P$758:$R$758</c:f>
              <c:strCache>
                <c:ptCount val="3"/>
                <c:pt idx="0">
                  <c:v>2023-2024</c:v>
                </c:pt>
                <c:pt idx="1">
                  <c:v>2024-2025</c:v>
                </c:pt>
                <c:pt idx="2">
                  <c:v>2025-2026</c:v>
                </c:pt>
              </c:strCache>
            </c:strRef>
          </c:cat>
          <c:val>
            <c:numRef>
              <c:f>SUMEXPEN!$P$759:$R$759</c:f>
              <c:numCache>
                <c:formatCode>"$"#,##0</c:formatCode>
                <c:ptCount val="3"/>
                <c:pt idx="0">
                  <c:v>397475</c:v>
                </c:pt>
                <c:pt idx="1">
                  <c:v>693565</c:v>
                </c:pt>
                <c:pt idx="2">
                  <c:v>624676</c:v>
                </c:pt>
              </c:numCache>
            </c:numRef>
          </c:val>
          <c:shape val="pyramid"/>
          <c:extLst>
            <c:ext xmlns:c16="http://schemas.microsoft.com/office/drawing/2014/chart" uri="{C3380CC4-5D6E-409C-BE32-E72D297353CC}">
              <c16:uniqueId val="{00000000-03ED-42F9-B639-8C83BB0EB494}"/>
            </c:ext>
          </c:extLst>
        </c:ser>
        <c:dLbls>
          <c:showLegendKey val="0"/>
          <c:showVal val="1"/>
          <c:showCatName val="0"/>
          <c:showSerName val="0"/>
          <c:showPercent val="0"/>
          <c:showBubbleSize val="0"/>
        </c:dLbls>
        <c:gapWidth val="150"/>
        <c:shape val="box"/>
        <c:axId val="128185088"/>
        <c:axId val="128186624"/>
        <c:axId val="0"/>
      </c:bar3DChart>
      <c:catAx>
        <c:axId val="128185088"/>
        <c:scaling>
          <c:orientation val="minMax"/>
        </c:scaling>
        <c:delete val="0"/>
        <c:axPos val="b"/>
        <c:numFmt formatCode="General" sourceLinked="1"/>
        <c:majorTickMark val="none"/>
        <c:minorTickMark val="none"/>
        <c:tickLblPos val="nextTo"/>
        <c:spPr>
          <a:noFill/>
        </c:spPr>
        <c:txPr>
          <a:bodyPr rot="0" anchor="t" anchorCtr="0"/>
          <a:lstStyle/>
          <a:p>
            <a:pPr>
              <a:defRPr sz="900" b="0" baseline="0">
                <a:solidFill>
                  <a:sysClr val="windowText" lastClr="000000"/>
                </a:solidFill>
                <a:latin typeface="Arial" panose="020B0604020202020204" pitchFamily="34" charset="0"/>
                <a:ea typeface="Open Sans" panose="020B0606030504020204" pitchFamily="34" charset="0"/>
                <a:cs typeface="Arial" panose="020B0604020202020204" pitchFamily="34" charset="0"/>
              </a:defRPr>
            </a:pPr>
            <a:endParaRPr lang="en-US"/>
          </a:p>
        </c:txPr>
        <c:crossAx val="128186624"/>
        <c:crosses val="autoZero"/>
        <c:auto val="1"/>
        <c:lblAlgn val="ctr"/>
        <c:lblOffset val="100"/>
        <c:noMultiLvlLbl val="0"/>
      </c:catAx>
      <c:valAx>
        <c:axId val="128186624"/>
        <c:scaling>
          <c:orientation val="minMax"/>
        </c:scaling>
        <c:delete val="0"/>
        <c:axPos val="l"/>
        <c:majorGridlines>
          <c:spPr>
            <a:ln>
              <a:solidFill>
                <a:srgbClr val="53565A"/>
              </a:solidFill>
            </a:ln>
          </c:spPr>
        </c:majorGridlines>
        <c:numFmt formatCode="&quot;$&quot;#,##0" sourceLinked="1"/>
        <c:majorTickMark val="none"/>
        <c:minorTickMark val="none"/>
        <c:tickLblPos val="nextTo"/>
        <c:spPr>
          <a:ln>
            <a:solidFill>
              <a:srgbClr val="53565A"/>
            </a:solidFill>
          </a:ln>
        </c:spPr>
        <c:txPr>
          <a:bodyPr/>
          <a:lstStyle/>
          <a:p>
            <a:pPr>
              <a:defRPr sz="900" baseline="0">
                <a:latin typeface="Arial" panose="020B0604020202020204" pitchFamily="34" charset="0"/>
                <a:ea typeface="Open Sans" panose="020B0606030504020204" pitchFamily="34" charset="0"/>
                <a:cs typeface="Arial" panose="020B0604020202020204" pitchFamily="34" charset="0"/>
              </a:defRPr>
            </a:pPr>
            <a:endParaRPr lang="en-US"/>
          </a:p>
        </c:txPr>
        <c:crossAx val="128185088"/>
        <c:crosses val="autoZero"/>
        <c:crossBetween val="between"/>
      </c:valAx>
      <c:spPr>
        <a:noFill/>
        <a:ln>
          <a:noFill/>
        </a:ln>
      </c:spPr>
    </c:plotArea>
    <c:plotVisOnly val="1"/>
    <c:dispBlanksAs val="gap"/>
    <c:showDLblsOverMax val="0"/>
  </c:chart>
  <c:spPr>
    <a:noFill/>
    <a:ln>
      <a:solidFill>
        <a:srgbClr val="53565A"/>
      </a:solidFill>
    </a:ln>
  </c:spPr>
  <c:printSettings>
    <c:headerFooter/>
    <c:pageMargins b="0.75" l="0.7" r="0.7" t="0.75" header="0.3" footer="0.3"/>
    <c:pageSetup orientation="portrait"/>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34"/>
    </mc:Choice>
    <mc:Fallback>
      <c:style val="34"/>
    </mc:Fallback>
  </mc:AlternateContent>
  <c:clrMapOvr bg1="lt1" tx1="dk1" bg2="lt2" tx2="dk2" accent1="accent1" accent2="accent2" accent3="accent3" accent4="accent4" accent5="accent5" accent6="accent6" hlink="hlink" folHlink="folHlink"/>
  <c:chart>
    <c:title>
      <c:tx>
        <c:rich>
          <a:bodyPr/>
          <a:lstStyle/>
          <a:p>
            <a:pPr>
              <a:defRPr sz="1400" b="0">
                <a:solidFill>
                  <a:srgbClr val="53565A"/>
                </a:solidFill>
                <a:latin typeface="Arial" panose="020B0604020202020204" pitchFamily="34" charset="0"/>
                <a:ea typeface="Open Sans Semibold" panose="020B0706030804020204" pitchFamily="34" charset="0"/>
                <a:cs typeface="Arial" panose="020B0604020202020204" pitchFamily="34" charset="0"/>
              </a:defRPr>
            </a:pPr>
            <a:r>
              <a:rPr lang="en-US">
                <a:latin typeface="Arial" panose="020B0604020202020204" pitchFamily="34" charset="0"/>
                <a:cs typeface="Arial" panose="020B0604020202020204" pitchFamily="34" charset="0"/>
              </a:rPr>
              <a:t>Transportation Expenditures (2700)</a:t>
            </a:r>
          </a:p>
        </c:rich>
      </c:tx>
      <c:layout>
        <c:manualLayout>
          <c:xMode val="edge"/>
          <c:yMode val="edge"/>
          <c:x val="0.34079309687107945"/>
          <c:y val="4.3923768154309505E-2"/>
        </c:manualLayout>
      </c:layout>
      <c:overlay val="0"/>
    </c:title>
    <c:autoTitleDeleted val="0"/>
    <c:view3D>
      <c:rotX val="15"/>
      <c:rotY val="20"/>
      <c:depthPercent val="100"/>
      <c:rAngAx val="1"/>
    </c:view3D>
    <c:floor>
      <c:thickness val="0"/>
      <c:spPr>
        <a:gradFill flip="none" rotWithShape="1">
          <a:gsLst>
            <a:gs pos="0">
              <a:srgbClr val="12284C">
                <a:lumMod val="5000"/>
                <a:lumOff val="95000"/>
              </a:srgbClr>
            </a:gs>
            <a:gs pos="74000">
              <a:srgbClr val="12284C">
                <a:lumMod val="45000"/>
                <a:lumOff val="55000"/>
              </a:srgbClr>
            </a:gs>
            <a:gs pos="83000">
              <a:srgbClr val="12284C">
                <a:lumMod val="45000"/>
                <a:lumOff val="55000"/>
              </a:srgbClr>
            </a:gs>
            <a:gs pos="100000">
              <a:srgbClr val="12284C">
                <a:lumMod val="30000"/>
                <a:lumOff val="70000"/>
              </a:srgbClr>
            </a:gs>
          </a:gsLst>
          <a:path path="circle">
            <a:fillToRect l="100000" t="100000"/>
          </a:path>
          <a:tileRect r="-100000" b="-100000"/>
        </a:gradFill>
        <a:ln>
          <a:solidFill>
            <a:srgbClr val="12284C"/>
          </a:solidFill>
        </a:ln>
      </c:spPr>
    </c:floor>
    <c:sideWall>
      <c:thickness val="0"/>
      <c:spPr>
        <a:gradFill flip="none" rotWithShape="1">
          <a:gsLst>
            <a:gs pos="0">
              <a:srgbClr val="12284C">
                <a:lumMod val="5000"/>
                <a:lumOff val="95000"/>
              </a:srgbClr>
            </a:gs>
            <a:gs pos="74000">
              <a:srgbClr val="12284C">
                <a:lumMod val="45000"/>
                <a:lumOff val="55000"/>
              </a:srgbClr>
            </a:gs>
            <a:gs pos="83000">
              <a:srgbClr val="12284C">
                <a:lumMod val="45000"/>
                <a:lumOff val="55000"/>
              </a:srgbClr>
            </a:gs>
            <a:gs pos="100000">
              <a:srgbClr val="12284C">
                <a:lumMod val="30000"/>
                <a:lumOff val="70000"/>
              </a:srgbClr>
            </a:gs>
          </a:gsLst>
          <a:path path="circle">
            <a:fillToRect l="100000" t="100000"/>
          </a:path>
          <a:tileRect r="-100000" b="-100000"/>
        </a:gradFill>
        <a:ln>
          <a:solidFill>
            <a:srgbClr val="12284C"/>
          </a:solidFill>
        </a:ln>
      </c:spPr>
    </c:sideWall>
    <c:backWall>
      <c:thickness val="0"/>
      <c:spPr>
        <a:gradFill flip="none" rotWithShape="1">
          <a:gsLst>
            <a:gs pos="0">
              <a:srgbClr val="12284C">
                <a:lumMod val="5000"/>
                <a:lumOff val="95000"/>
              </a:srgbClr>
            </a:gs>
            <a:gs pos="74000">
              <a:srgbClr val="12284C">
                <a:lumMod val="45000"/>
                <a:lumOff val="55000"/>
              </a:srgbClr>
            </a:gs>
            <a:gs pos="83000">
              <a:srgbClr val="12284C">
                <a:lumMod val="45000"/>
                <a:lumOff val="55000"/>
              </a:srgbClr>
            </a:gs>
            <a:gs pos="100000">
              <a:srgbClr val="12284C">
                <a:lumMod val="30000"/>
                <a:lumOff val="70000"/>
              </a:srgbClr>
            </a:gs>
          </a:gsLst>
          <a:path path="circle">
            <a:fillToRect l="100000" t="100000"/>
          </a:path>
          <a:tileRect r="-100000" b="-100000"/>
        </a:gradFill>
        <a:ln>
          <a:solidFill>
            <a:srgbClr val="12284C"/>
          </a:solidFill>
        </a:ln>
      </c:spPr>
    </c:backWall>
    <c:plotArea>
      <c:layout>
        <c:manualLayout>
          <c:layoutTarget val="inner"/>
          <c:xMode val="edge"/>
          <c:yMode val="edge"/>
          <c:x val="3.0575644109563874E-2"/>
          <c:y val="0.16386807517302321"/>
          <c:w val="0.96942435589043607"/>
          <c:h val="0.72190394631117549"/>
        </c:manualLayout>
      </c:layout>
      <c:bar3DChart>
        <c:barDir val="col"/>
        <c:grouping val="clustered"/>
        <c:varyColors val="0"/>
        <c:ser>
          <c:idx val="0"/>
          <c:order val="0"/>
          <c:tx>
            <c:v>Transportation Expenditures</c:v>
          </c:tx>
          <c:spPr>
            <a:solidFill>
              <a:srgbClr val="FFA400"/>
            </a:solidFill>
            <a:ln>
              <a:solidFill>
                <a:srgbClr val="D28700"/>
              </a:solidFill>
            </a:ln>
          </c:spPr>
          <c:invertIfNegative val="0"/>
          <c:dPt>
            <c:idx val="1"/>
            <c:invertIfNegative val="0"/>
            <c:bubble3D val="0"/>
            <c:spPr>
              <a:solidFill>
                <a:srgbClr val="00B796"/>
              </a:solidFill>
              <a:ln>
                <a:solidFill>
                  <a:srgbClr val="008269"/>
                </a:solidFill>
              </a:ln>
            </c:spPr>
            <c:extLst>
              <c:ext xmlns:c16="http://schemas.microsoft.com/office/drawing/2014/chart" uri="{C3380CC4-5D6E-409C-BE32-E72D297353CC}">
                <c16:uniqueId val="{00000003-EA90-4AD3-ABE4-5B34F4836766}"/>
              </c:ext>
            </c:extLst>
          </c:dPt>
          <c:dPt>
            <c:idx val="2"/>
            <c:invertIfNegative val="0"/>
            <c:bubble3D val="0"/>
            <c:spPr>
              <a:solidFill>
                <a:srgbClr val="B7312C"/>
              </a:solidFill>
              <a:ln>
                <a:solidFill>
                  <a:srgbClr val="7F241F"/>
                </a:solidFill>
              </a:ln>
            </c:spPr>
            <c:extLst>
              <c:ext xmlns:c16="http://schemas.microsoft.com/office/drawing/2014/chart" uri="{C3380CC4-5D6E-409C-BE32-E72D297353CC}">
                <c16:uniqueId val="{00000004-EA90-4AD3-ABE4-5B34F4836766}"/>
              </c:ext>
            </c:extLst>
          </c:dPt>
          <c:dPt>
            <c:idx val="3"/>
            <c:invertIfNegative val="0"/>
            <c:bubble3D val="0"/>
            <c:spPr>
              <a:solidFill>
                <a:srgbClr val="005587"/>
              </a:solidFill>
              <a:ln>
                <a:solidFill>
                  <a:srgbClr val="12284C"/>
                </a:solidFill>
              </a:ln>
            </c:spPr>
            <c:extLst>
              <c:ext xmlns:c16="http://schemas.microsoft.com/office/drawing/2014/chart" uri="{C3380CC4-5D6E-409C-BE32-E72D297353CC}">
                <c16:uniqueId val="{00000005-D4E3-40AF-8345-71890A74772B}"/>
              </c:ext>
            </c:extLst>
          </c:dPt>
          <c:dPt>
            <c:idx val="4"/>
            <c:invertIfNegative val="0"/>
            <c:bubble3D val="0"/>
            <c:spPr>
              <a:solidFill>
                <a:srgbClr val="53565A"/>
              </a:solidFill>
              <a:ln>
                <a:solidFill>
                  <a:srgbClr val="383A3C"/>
                </a:solidFill>
              </a:ln>
            </c:spPr>
            <c:extLst>
              <c:ext xmlns:c16="http://schemas.microsoft.com/office/drawing/2014/chart" uri="{C3380CC4-5D6E-409C-BE32-E72D297353CC}">
                <c16:uniqueId val="{00000006-D4E3-40AF-8345-71890A74772B}"/>
              </c:ext>
            </c:extLst>
          </c:dPt>
          <c:dLbls>
            <c:dLbl>
              <c:idx val="0"/>
              <c:layout>
                <c:manualLayout>
                  <c:x val="1.0132073464371864E-2"/>
                  <c:y val="-3.8826413992771473E-2"/>
                </c:manualLayout>
              </c:layout>
              <c:spPr>
                <a:noFill/>
                <a:ln>
                  <a:noFill/>
                </a:ln>
                <a:effectLst/>
              </c:spPr>
              <c:txPr>
                <a:bodyPr vertOverflow="clip" horzOverflow="clip" wrap="square" lIns="38100" tIns="19050" rIns="38100" bIns="19050" anchor="ctr" anchorCtr="0">
                  <a:spAutoFit/>
                </a:bodyPr>
                <a:lstStyle/>
                <a:p>
                  <a:pPr algn="l">
                    <a:defRPr sz="900">
                      <a:latin typeface="Arial" panose="020B0604020202020204" pitchFamily="34" charset="0"/>
                      <a:ea typeface="Open Sans Light" panose="020B0306030504020204" pitchFamily="34" charset="0"/>
                      <a:cs typeface="Arial" panose="020B0604020202020204" pitchFamily="34" charset="0"/>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B89A-43E1-B6B0-9C74BAE5742A}"/>
                </c:ext>
              </c:extLst>
            </c:dLbl>
            <c:dLbl>
              <c:idx val="1"/>
              <c:layout>
                <c:manualLayout>
                  <c:x val="1.5129283485714557E-2"/>
                  <c:y val="-4.8005172389448875E-2"/>
                </c:manualLayout>
              </c:layout>
              <c:spPr>
                <a:noFill/>
                <a:ln>
                  <a:noFill/>
                </a:ln>
                <a:effectLst/>
              </c:spPr>
              <c:txPr>
                <a:bodyPr vertOverflow="clip" horzOverflow="clip" wrap="none" lIns="38100" tIns="19050" rIns="38100" bIns="19050" anchor="ctr" anchorCtr="0">
                  <a:spAutoFit/>
                </a:bodyPr>
                <a:lstStyle/>
                <a:p>
                  <a:pPr algn="l">
                    <a:defRPr sz="900">
                      <a:latin typeface="Arial" panose="020B0604020202020204" pitchFamily="34" charset="0"/>
                      <a:ea typeface="Open Sans Light" panose="020B0306030504020204" pitchFamily="34" charset="0"/>
                      <a:cs typeface="Arial" panose="020B0604020202020204" pitchFamily="34" charset="0"/>
                    </a:defRPr>
                  </a:pPr>
                  <a:endParaRPr lang="en-US"/>
                </a:p>
              </c:txP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3-EA90-4AD3-ABE4-5B34F4836766}"/>
                </c:ext>
              </c:extLst>
            </c:dLbl>
            <c:dLbl>
              <c:idx val="2"/>
              <c:layout>
                <c:manualLayout>
                  <c:x val="1.3026819748704328E-2"/>
                  <c:y val="-1.5037589533600872E-2"/>
                </c:manualLayout>
              </c:layout>
              <c:spPr>
                <a:noFill/>
                <a:ln>
                  <a:noFill/>
                </a:ln>
                <a:effectLst/>
              </c:spPr>
              <c:txPr>
                <a:bodyPr vertOverflow="clip" horzOverflow="clip" wrap="square" lIns="38100" tIns="19050" rIns="38100" bIns="19050" anchor="ctr" anchorCtr="0">
                  <a:spAutoFit/>
                </a:bodyPr>
                <a:lstStyle/>
                <a:p>
                  <a:pPr algn="l">
                    <a:defRPr sz="900">
                      <a:latin typeface="Arial" panose="020B0604020202020204" pitchFamily="34" charset="0"/>
                      <a:ea typeface="Open Sans Light" panose="020B0306030504020204" pitchFamily="34" charset="0"/>
                      <a:cs typeface="Arial" panose="020B0604020202020204" pitchFamily="34" charset="0"/>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EA90-4AD3-ABE4-5B34F4836766}"/>
                </c:ext>
              </c:extLst>
            </c:dLbl>
            <c:dLbl>
              <c:idx val="3"/>
              <c:layout>
                <c:manualLayout>
                  <c:x val="1.1579395332181518E-2"/>
                  <c:y val="-2.631578168380152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D4E3-40AF-8345-71890A74772B}"/>
                </c:ext>
              </c:extLst>
            </c:dLbl>
            <c:dLbl>
              <c:idx val="4"/>
              <c:layout>
                <c:manualLayout>
                  <c:x val="1.158161418747738E-2"/>
                  <c:y val="-2.674156309700396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D4E3-40AF-8345-71890A74772B}"/>
                </c:ext>
              </c:extLst>
            </c:dLbl>
            <c:spPr>
              <a:noFill/>
              <a:ln>
                <a:noFill/>
              </a:ln>
              <a:effectLst/>
            </c:spPr>
            <c:txPr>
              <a:bodyPr wrap="square" lIns="38100" tIns="19050" rIns="38100" bIns="19050" anchor="ctr" anchorCtr="0">
                <a:spAutoFit/>
              </a:bodyPr>
              <a:lstStyle/>
              <a:p>
                <a:pPr algn="l">
                  <a:defRPr sz="900">
                    <a:latin typeface="Arial" panose="020B0604020202020204" pitchFamily="34" charset="0"/>
                    <a:ea typeface="Open Sans Light" panose="020B0306030504020204" pitchFamily="34" charset="0"/>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SUMEXPEN!$P$823:$R$823</c:f>
              <c:strCache>
                <c:ptCount val="3"/>
                <c:pt idx="0">
                  <c:v>2023-2024</c:v>
                </c:pt>
                <c:pt idx="1">
                  <c:v>2024-2025</c:v>
                </c:pt>
                <c:pt idx="2">
                  <c:v>2025-2026</c:v>
                </c:pt>
              </c:strCache>
            </c:strRef>
          </c:cat>
          <c:val>
            <c:numRef>
              <c:f>SUMEXPEN!$P$824:$R$824</c:f>
              <c:numCache>
                <c:formatCode>"$"#,##0</c:formatCode>
                <c:ptCount val="3"/>
                <c:pt idx="0">
                  <c:v>54953</c:v>
                </c:pt>
                <c:pt idx="1">
                  <c:v>58431</c:v>
                </c:pt>
                <c:pt idx="2">
                  <c:v>191507</c:v>
                </c:pt>
              </c:numCache>
            </c:numRef>
          </c:val>
          <c:shape val="pyramid"/>
          <c:extLst>
            <c:ext xmlns:c16="http://schemas.microsoft.com/office/drawing/2014/chart" uri="{C3380CC4-5D6E-409C-BE32-E72D297353CC}">
              <c16:uniqueId val="{00000000-03ED-42F9-B639-8C83BB0EB494}"/>
            </c:ext>
          </c:extLst>
        </c:ser>
        <c:dLbls>
          <c:showLegendKey val="0"/>
          <c:showVal val="1"/>
          <c:showCatName val="0"/>
          <c:showSerName val="0"/>
          <c:showPercent val="0"/>
          <c:showBubbleSize val="0"/>
        </c:dLbls>
        <c:gapWidth val="150"/>
        <c:shape val="box"/>
        <c:axId val="128185088"/>
        <c:axId val="128186624"/>
        <c:axId val="0"/>
      </c:bar3DChart>
      <c:catAx>
        <c:axId val="128185088"/>
        <c:scaling>
          <c:orientation val="minMax"/>
        </c:scaling>
        <c:delete val="0"/>
        <c:axPos val="b"/>
        <c:numFmt formatCode="General" sourceLinked="1"/>
        <c:majorTickMark val="none"/>
        <c:minorTickMark val="none"/>
        <c:tickLblPos val="nextTo"/>
        <c:spPr>
          <a:noFill/>
        </c:spPr>
        <c:txPr>
          <a:bodyPr rot="0" anchor="t" anchorCtr="0"/>
          <a:lstStyle/>
          <a:p>
            <a:pPr>
              <a:defRPr sz="900" b="0" baseline="0">
                <a:solidFill>
                  <a:sysClr val="windowText" lastClr="000000"/>
                </a:solidFill>
                <a:latin typeface="Arial" panose="020B0604020202020204" pitchFamily="34" charset="0"/>
                <a:ea typeface="Open Sans" panose="020B0606030504020204" pitchFamily="34" charset="0"/>
                <a:cs typeface="Arial" panose="020B0604020202020204" pitchFamily="34" charset="0"/>
              </a:defRPr>
            </a:pPr>
            <a:endParaRPr lang="en-US"/>
          </a:p>
        </c:txPr>
        <c:crossAx val="128186624"/>
        <c:crosses val="autoZero"/>
        <c:auto val="1"/>
        <c:lblAlgn val="ctr"/>
        <c:lblOffset val="100"/>
        <c:noMultiLvlLbl val="0"/>
      </c:catAx>
      <c:valAx>
        <c:axId val="128186624"/>
        <c:scaling>
          <c:orientation val="minMax"/>
        </c:scaling>
        <c:delete val="0"/>
        <c:axPos val="l"/>
        <c:majorGridlines>
          <c:spPr>
            <a:ln>
              <a:solidFill>
                <a:srgbClr val="53565A"/>
              </a:solidFill>
            </a:ln>
          </c:spPr>
        </c:majorGridlines>
        <c:numFmt formatCode="&quot;$&quot;#,##0" sourceLinked="1"/>
        <c:majorTickMark val="none"/>
        <c:minorTickMark val="none"/>
        <c:tickLblPos val="nextTo"/>
        <c:spPr>
          <a:ln>
            <a:solidFill>
              <a:srgbClr val="53565A"/>
            </a:solidFill>
          </a:ln>
        </c:spPr>
        <c:txPr>
          <a:bodyPr/>
          <a:lstStyle/>
          <a:p>
            <a:pPr>
              <a:defRPr sz="900" baseline="0">
                <a:latin typeface="Arial" panose="020B0604020202020204" pitchFamily="34" charset="0"/>
                <a:ea typeface="Open Sans" panose="020B0606030504020204" pitchFamily="34" charset="0"/>
                <a:cs typeface="Arial" panose="020B0604020202020204" pitchFamily="34" charset="0"/>
              </a:defRPr>
            </a:pPr>
            <a:endParaRPr lang="en-US"/>
          </a:p>
        </c:txPr>
        <c:crossAx val="128185088"/>
        <c:crosses val="autoZero"/>
        <c:crossBetween val="between"/>
      </c:valAx>
      <c:spPr>
        <a:noFill/>
        <a:ln>
          <a:noFill/>
        </a:ln>
      </c:spPr>
    </c:plotArea>
    <c:plotVisOnly val="1"/>
    <c:dispBlanksAs val="gap"/>
    <c:showDLblsOverMax val="0"/>
  </c:chart>
  <c:spPr>
    <a:noFill/>
    <a:ln>
      <a:solidFill>
        <a:srgbClr val="53565A"/>
      </a:solidFill>
    </a:ln>
  </c:spPr>
  <c:printSettings>
    <c:headerFooter/>
    <c:pageMargins b="0.75" l="0.7" r="0.7" t="0.75" header="0.3" footer="0.3"/>
    <c:pageSetup orientation="portrait"/>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3" Type="http://schemas.openxmlformats.org/officeDocument/2006/relationships/chart" Target="../charts/chart13.xml"/><Relationship Id="rId18" Type="http://schemas.openxmlformats.org/officeDocument/2006/relationships/chart" Target="../charts/chart18.xml"/><Relationship Id="rId26" Type="http://schemas.openxmlformats.org/officeDocument/2006/relationships/chart" Target="../charts/chart26.xml"/><Relationship Id="rId3" Type="http://schemas.openxmlformats.org/officeDocument/2006/relationships/chart" Target="../charts/chart3.xml"/><Relationship Id="rId21" Type="http://schemas.openxmlformats.org/officeDocument/2006/relationships/chart" Target="../charts/chart21.xml"/><Relationship Id="rId34" Type="http://schemas.openxmlformats.org/officeDocument/2006/relationships/chart" Target="../charts/chart34.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5" Type="http://schemas.openxmlformats.org/officeDocument/2006/relationships/chart" Target="../charts/chart25.xml"/><Relationship Id="rId33" Type="http://schemas.openxmlformats.org/officeDocument/2006/relationships/chart" Target="../charts/chart33.xml"/><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29" Type="http://schemas.openxmlformats.org/officeDocument/2006/relationships/chart" Target="../charts/chart29.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24" Type="http://schemas.openxmlformats.org/officeDocument/2006/relationships/chart" Target="../charts/chart24.xml"/><Relationship Id="rId32" Type="http://schemas.openxmlformats.org/officeDocument/2006/relationships/chart" Target="../charts/chart32.xml"/><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chart" Target="../charts/chart23.xml"/><Relationship Id="rId28" Type="http://schemas.openxmlformats.org/officeDocument/2006/relationships/chart" Target="../charts/chart28.xml"/><Relationship Id="rId36" Type="http://schemas.openxmlformats.org/officeDocument/2006/relationships/image" Target="../media/image4.emf"/><Relationship Id="rId10" Type="http://schemas.openxmlformats.org/officeDocument/2006/relationships/chart" Target="../charts/chart10.xml"/><Relationship Id="rId19" Type="http://schemas.openxmlformats.org/officeDocument/2006/relationships/chart" Target="../charts/chart19.xml"/><Relationship Id="rId31" Type="http://schemas.openxmlformats.org/officeDocument/2006/relationships/chart" Target="../charts/chart31.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 Id="rId27" Type="http://schemas.openxmlformats.org/officeDocument/2006/relationships/chart" Target="../charts/chart27.xml"/><Relationship Id="rId30" Type="http://schemas.openxmlformats.org/officeDocument/2006/relationships/chart" Target="../charts/chart30.xml"/><Relationship Id="rId35" Type="http://schemas.openxmlformats.org/officeDocument/2006/relationships/image" Target="../media/image3.emf"/><Relationship Id="rId8" Type="http://schemas.openxmlformats.org/officeDocument/2006/relationships/chart" Target="../charts/chart8.xml"/></Relationships>
</file>

<file path=xl/drawings/_rels/drawing3.xml.rels><?xml version="1.0" encoding="UTF-8" standalone="yes"?>
<Relationships xmlns="http://schemas.openxmlformats.org/package/2006/relationships"><Relationship Id="rId8" Type="http://schemas.openxmlformats.org/officeDocument/2006/relationships/chart" Target="../charts/chart42.xml"/><Relationship Id="rId3" Type="http://schemas.openxmlformats.org/officeDocument/2006/relationships/chart" Target="../charts/chart37.xml"/><Relationship Id="rId7" Type="http://schemas.openxmlformats.org/officeDocument/2006/relationships/chart" Target="../charts/chart41.xml"/><Relationship Id="rId2" Type="http://schemas.openxmlformats.org/officeDocument/2006/relationships/chart" Target="../charts/chart36.xml"/><Relationship Id="rId1" Type="http://schemas.openxmlformats.org/officeDocument/2006/relationships/chart" Target="../charts/chart35.xml"/><Relationship Id="rId6" Type="http://schemas.openxmlformats.org/officeDocument/2006/relationships/chart" Target="../charts/chart40.xml"/><Relationship Id="rId5" Type="http://schemas.openxmlformats.org/officeDocument/2006/relationships/chart" Target="../charts/chart39.xml"/><Relationship Id="rId4" Type="http://schemas.openxmlformats.org/officeDocument/2006/relationships/chart" Target="../charts/chart38.xml"/></Relationships>
</file>

<file path=xl/drawings/_rels/drawing4.xml.rels><?xml version="1.0" encoding="UTF-8" standalone="yes"?>
<Relationships xmlns="http://schemas.openxmlformats.org/package/2006/relationships"><Relationship Id="rId8" Type="http://schemas.openxmlformats.org/officeDocument/2006/relationships/chart" Target="../charts/chart48.xml"/><Relationship Id="rId13" Type="http://schemas.openxmlformats.org/officeDocument/2006/relationships/chart" Target="../charts/chart53.xml"/><Relationship Id="rId3" Type="http://schemas.openxmlformats.org/officeDocument/2006/relationships/chart" Target="../charts/chart43.xml"/><Relationship Id="rId7" Type="http://schemas.openxmlformats.org/officeDocument/2006/relationships/chart" Target="../charts/chart47.xml"/><Relationship Id="rId12" Type="http://schemas.openxmlformats.org/officeDocument/2006/relationships/chart" Target="../charts/chart52.xml"/><Relationship Id="rId2" Type="http://schemas.openxmlformats.org/officeDocument/2006/relationships/image" Target="../media/image8.jpeg"/><Relationship Id="rId1" Type="http://schemas.openxmlformats.org/officeDocument/2006/relationships/image" Target="../media/image7.png"/><Relationship Id="rId6" Type="http://schemas.openxmlformats.org/officeDocument/2006/relationships/chart" Target="../charts/chart46.xml"/><Relationship Id="rId11" Type="http://schemas.openxmlformats.org/officeDocument/2006/relationships/chart" Target="../charts/chart51.xml"/><Relationship Id="rId5" Type="http://schemas.openxmlformats.org/officeDocument/2006/relationships/chart" Target="../charts/chart45.xml"/><Relationship Id="rId10" Type="http://schemas.openxmlformats.org/officeDocument/2006/relationships/chart" Target="../charts/chart50.xml"/><Relationship Id="rId4" Type="http://schemas.openxmlformats.org/officeDocument/2006/relationships/chart" Target="../charts/chart44.xml"/><Relationship Id="rId9" Type="http://schemas.openxmlformats.org/officeDocument/2006/relationships/chart" Target="../charts/chart49.xml"/></Relationships>
</file>

<file path=xl/drawings/_rels/drawing5.xml.rels><?xml version="1.0" encoding="UTF-8" standalone="yes"?>
<Relationships xmlns="http://schemas.openxmlformats.org/package/2006/relationships"><Relationship Id="rId3" Type="http://schemas.openxmlformats.org/officeDocument/2006/relationships/chart" Target="../charts/chart56.xml"/><Relationship Id="rId2" Type="http://schemas.openxmlformats.org/officeDocument/2006/relationships/chart" Target="../charts/chart55.xml"/><Relationship Id="rId1" Type="http://schemas.openxmlformats.org/officeDocument/2006/relationships/chart" Target="../charts/chart54.xml"/></Relationships>
</file>

<file path=xl/drawings/_rels/drawing6.xml.rels><?xml version="1.0" encoding="UTF-8" standalone="yes"?>
<Relationships xmlns="http://schemas.openxmlformats.org/package/2006/relationships"><Relationship Id="rId2" Type="http://schemas.openxmlformats.org/officeDocument/2006/relationships/chart" Target="../charts/chart58.xml"/><Relationship Id="rId1" Type="http://schemas.openxmlformats.org/officeDocument/2006/relationships/chart" Target="../charts/chart57.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6.emf"/><Relationship Id="rId1" Type="http://schemas.openxmlformats.org/officeDocument/2006/relationships/image" Target="../media/image5.emf"/></Relationships>
</file>

<file path=xl/drawings/drawing1.xml><?xml version="1.0" encoding="utf-8"?>
<xdr:wsDr xmlns:xdr="http://schemas.openxmlformats.org/drawingml/2006/spreadsheetDrawing" xmlns:a="http://schemas.openxmlformats.org/drawingml/2006/main">
  <xdr:twoCellAnchor>
    <xdr:from>
      <xdr:col>1</xdr:col>
      <xdr:colOff>19050</xdr:colOff>
      <xdr:row>12</xdr:row>
      <xdr:rowOff>95250</xdr:rowOff>
    </xdr:from>
    <xdr:to>
      <xdr:col>9</xdr:col>
      <xdr:colOff>104775</xdr:colOff>
      <xdr:row>20</xdr:row>
      <xdr:rowOff>95250</xdr:rowOff>
    </xdr:to>
    <xdr:pic>
      <xdr:nvPicPr>
        <xdr:cNvPr id="3" name="Picture 5" descr="image009">
          <a:extLst>
            <a:ext uri="{FF2B5EF4-FFF2-40B4-BE49-F238E27FC236}">
              <a16:creationId xmlns:a16="http://schemas.microsoft.com/office/drawing/2014/main" id="{B8CA9EA5-B9AB-44CF-8884-A0C3BC1B229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8650" y="2790825"/>
          <a:ext cx="4962525" cy="1524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19050</xdr:colOff>
      <xdr:row>23</xdr:row>
      <xdr:rowOff>104775</xdr:rowOff>
    </xdr:from>
    <xdr:to>
      <xdr:col>4</xdr:col>
      <xdr:colOff>495300</xdr:colOff>
      <xdr:row>37</xdr:row>
      <xdr:rowOff>133350</xdr:rowOff>
    </xdr:to>
    <xdr:pic>
      <xdr:nvPicPr>
        <xdr:cNvPr id="5" name="Picture 6" descr="image010">
          <a:extLst>
            <a:ext uri="{FF2B5EF4-FFF2-40B4-BE49-F238E27FC236}">
              <a16:creationId xmlns:a16="http://schemas.microsoft.com/office/drawing/2014/main" id="{7F8BDE0C-A629-4115-B64E-5B1AB55558F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38250" y="4524375"/>
          <a:ext cx="1695450" cy="2695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27</xdr:row>
      <xdr:rowOff>24957</xdr:rowOff>
    </xdr:from>
    <xdr:to>
      <xdr:col>12</xdr:col>
      <xdr:colOff>0</xdr:colOff>
      <xdr:row>45</xdr:row>
      <xdr:rowOff>133350</xdr:rowOff>
    </xdr:to>
    <xdr:graphicFrame macro="">
      <xdr:nvGraphicFramePr>
        <xdr:cNvPr id="2" name="Chart 1" title="Bar chart of summary of total expenditures by function for all funds">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xdr:from>
      <xdr:col>1</xdr:col>
      <xdr:colOff>0</xdr:colOff>
      <xdr:row>78</xdr:row>
      <xdr:rowOff>26397</xdr:rowOff>
    </xdr:from>
    <xdr:to>
      <xdr:col>12</xdr:col>
      <xdr:colOff>0</xdr:colOff>
      <xdr:row>101</xdr:row>
      <xdr:rowOff>57151</xdr:rowOff>
    </xdr:to>
    <xdr:graphicFrame macro="">
      <xdr:nvGraphicFramePr>
        <xdr:cNvPr id="4" name="Chart 3" title="Bar chart of summary of general fund expenditures">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twoCellAnchor>
  <xdr:twoCellAnchor>
    <xdr:from>
      <xdr:col>1</xdr:col>
      <xdr:colOff>0</xdr:colOff>
      <xdr:row>101</xdr:row>
      <xdr:rowOff>57812</xdr:rowOff>
    </xdr:from>
    <xdr:to>
      <xdr:col>12</xdr:col>
      <xdr:colOff>0</xdr:colOff>
      <xdr:row>121</xdr:row>
      <xdr:rowOff>160804</xdr:rowOff>
    </xdr:to>
    <xdr:graphicFrame macro="">
      <xdr:nvGraphicFramePr>
        <xdr:cNvPr id="5" name="Chart 4" title="Pie chart of summary of general fund expenditures by function">
          <a:extLst>
            <a:ext uri="{FF2B5EF4-FFF2-40B4-BE49-F238E27FC236}">
              <a16:creationId xmlns:a16="http://schemas.microsoft.com/office/drawing/2014/main" id="{00000000-0008-0000-00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fLocksWithSheet="0"/>
  </xdr:twoCellAnchor>
  <xdr:twoCellAnchor>
    <xdr:from>
      <xdr:col>1</xdr:col>
      <xdr:colOff>9525</xdr:colOff>
      <xdr:row>427</xdr:row>
      <xdr:rowOff>153556</xdr:rowOff>
    </xdr:from>
    <xdr:to>
      <xdr:col>12</xdr:col>
      <xdr:colOff>9525</xdr:colOff>
      <xdr:row>442</xdr:row>
      <xdr:rowOff>38100</xdr:rowOff>
    </xdr:to>
    <xdr:graphicFrame macro="">
      <xdr:nvGraphicFramePr>
        <xdr:cNvPr id="18" name="Chart 17" title="Bar chart of student support expenditures">
          <a:extLst>
            <a:ext uri="{FF2B5EF4-FFF2-40B4-BE49-F238E27FC236}">
              <a16:creationId xmlns:a16="http://schemas.microsoft.com/office/drawing/2014/main" id="{00000000-0008-0000-0000-00001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fLocksWithSheet="0"/>
  </xdr:twoCellAnchor>
  <xdr:twoCellAnchor>
    <xdr:from>
      <xdr:col>1</xdr:col>
      <xdr:colOff>9525</xdr:colOff>
      <xdr:row>491</xdr:row>
      <xdr:rowOff>180042</xdr:rowOff>
    </xdr:from>
    <xdr:to>
      <xdr:col>12</xdr:col>
      <xdr:colOff>9525</xdr:colOff>
      <xdr:row>506</xdr:row>
      <xdr:rowOff>133350</xdr:rowOff>
    </xdr:to>
    <xdr:graphicFrame macro="">
      <xdr:nvGraphicFramePr>
        <xdr:cNvPr id="19" name="Chart 18" title="Bar chart of instructional support expenditures">
          <a:extLst>
            <a:ext uri="{FF2B5EF4-FFF2-40B4-BE49-F238E27FC236}">
              <a16:creationId xmlns:a16="http://schemas.microsoft.com/office/drawing/2014/main" id="{00000000-0008-0000-0000-00001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fLocksWithSheet="0"/>
  </xdr:twoCellAnchor>
  <xdr:twoCellAnchor>
    <xdr:from>
      <xdr:col>1</xdr:col>
      <xdr:colOff>0</xdr:colOff>
      <xdr:row>556</xdr:row>
      <xdr:rowOff>149295</xdr:rowOff>
    </xdr:from>
    <xdr:to>
      <xdr:col>12</xdr:col>
      <xdr:colOff>0</xdr:colOff>
      <xdr:row>571</xdr:row>
      <xdr:rowOff>66676</xdr:rowOff>
    </xdr:to>
    <xdr:graphicFrame macro="">
      <xdr:nvGraphicFramePr>
        <xdr:cNvPr id="20" name="Chart 19" title="Bar chart of general administration expenditures">
          <a:extLst>
            <a:ext uri="{FF2B5EF4-FFF2-40B4-BE49-F238E27FC236}">
              <a16:creationId xmlns:a16="http://schemas.microsoft.com/office/drawing/2014/main" id="{00000000-0008-0000-0000-00001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fLocksWithSheet="0"/>
  </xdr:twoCellAnchor>
  <xdr:twoCellAnchor>
    <xdr:from>
      <xdr:col>1</xdr:col>
      <xdr:colOff>0</xdr:colOff>
      <xdr:row>620</xdr:row>
      <xdr:rowOff>159428</xdr:rowOff>
    </xdr:from>
    <xdr:to>
      <xdr:col>12</xdr:col>
      <xdr:colOff>0</xdr:colOff>
      <xdr:row>635</xdr:row>
      <xdr:rowOff>19050</xdr:rowOff>
    </xdr:to>
    <xdr:graphicFrame macro="">
      <xdr:nvGraphicFramePr>
        <xdr:cNvPr id="21" name="Chart 20" title="Bar chart of school administration expenditures">
          <a:extLst>
            <a:ext uri="{FF2B5EF4-FFF2-40B4-BE49-F238E27FC236}">
              <a16:creationId xmlns:a16="http://schemas.microsoft.com/office/drawing/2014/main" id="{00000000-0008-0000-0000-00001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fLocksWithSheet="0"/>
  </xdr:twoCellAnchor>
  <xdr:twoCellAnchor>
    <xdr:from>
      <xdr:col>1</xdr:col>
      <xdr:colOff>0</xdr:colOff>
      <xdr:row>748</xdr:row>
      <xdr:rowOff>172095</xdr:rowOff>
    </xdr:from>
    <xdr:to>
      <xdr:col>12</xdr:col>
      <xdr:colOff>0</xdr:colOff>
      <xdr:row>763</xdr:row>
      <xdr:rowOff>28575</xdr:rowOff>
    </xdr:to>
    <xdr:graphicFrame macro="">
      <xdr:nvGraphicFramePr>
        <xdr:cNvPr id="22" name="Chart 21" title="Bar chart of operations and maintenance expenditures">
          <a:extLst>
            <a:ext uri="{FF2B5EF4-FFF2-40B4-BE49-F238E27FC236}">
              <a16:creationId xmlns:a16="http://schemas.microsoft.com/office/drawing/2014/main" id="{00000000-0008-0000-0000-00001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fLocksWithSheet="0"/>
  </xdr:twoCellAnchor>
  <xdr:twoCellAnchor>
    <xdr:from>
      <xdr:col>1</xdr:col>
      <xdr:colOff>0</xdr:colOff>
      <xdr:row>812</xdr:row>
      <xdr:rowOff>156580</xdr:rowOff>
    </xdr:from>
    <xdr:to>
      <xdr:col>12</xdr:col>
      <xdr:colOff>0</xdr:colOff>
      <xdr:row>827</xdr:row>
      <xdr:rowOff>95251</xdr:rowOff>
    </xdr:to>
    <xdr:graphicFrame macro="">
      <xdr:nvGraphicFramePr>
        <xdr:cNvPr id="23" name="Chart 22" title="Bar chart of transportation expenditures">
          <a:extLst>
            <a:ext uri="{FF2B5EF4-FFF2-40B4-BE49-F238E27FC236}">
              <a16:creationId xmlns:a16="http://schemas.microsoft.com/office/drawing/2014/main" id="{00000000-0008-0000-0000-00001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fLocksWithSheet="0"/>
  </xdr:twoCellAnchor>
  <xdr:twoCellAnchor>
    <xdr:from>
      <xdr:col>1</xdr:col>
      <xdr:colOff>9525</xdr:colOff>
      <xdr:row>941</xdr:row>
      <xdr:rowOff>15658</xdr:rowOff>
    </xdr:from>
    <xdr:to>
      <xdr:col>11</xdr:col>
      <xdr:colOff>561975</xdr:colOff>
      <xdr:row>955</xdr:row>
      <xdr:rowOff>38100</xdr:rowOff>
    </xdr:to>
    <xdr:graphicFrame macro="">
      <xdr:nvGraphicFramePr>
        <xdr:cNvPr id="24" name="Chart 23" title="Bar chart of food service expenditures">
          <a:extLst>
            <a:ext uri="{FF2B5EF4-FFF2-40B4-BE49-F238E27FC236}">
              <a16:creationId xmlns:a16="http://schemas.microsoft.com/office/drawing/2014/main" id="{00000000-0008-0000-0000-00001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fLocksWithSheet="0"/>
  </xdr:twoCellAnchor>
  <xdr:twoCellAnchor>
    <xdr:from>
      <xdr:col>1</xdr:col>
      <xdr:colOff>0</xdr:colOff>
      <xdr:row>1004</xdr:row>
      <xdr:rowOff>162825</xdr:rowOff>
    </xdr:from>
    <xdr:to>
      <xdr:col>12</xdr:col>
      <xdr:colOff>0</xdr:colOff>
      <xdr:row>1018</xdr:row>
      <xdr:rowOff>142875</xdr:rowOff>
    </xdr:to>
    <xdr:graphicFrame macro="">
      <xdr:nvGraphicFramePr>
        <xdr:cNvPr id="25" name="Chart 24" title="Bar chart of community services operations">
          <a:extLst>
            <a:ext uri="{FF2B5EF4-FFF2-40B4-BE49-F238E27FC236}">
              <a16:creationId xmlns:a16="http://schemas.microsoft.com/office/drawing/2014/main" id="{00000000-0008-0000-0000-00001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fLocksWithSheet="0"/>
  </xdr:twoCellAnchor>
  <xdr:twoCellAnchor>
    <xdr:from>
      <xdr:col>1</xdr:col>
      <xdr:colOff>0</xdr:colOff>
      <xdr:row>1069</xdr:row>
      <xdr:rowOff>132960</xdr:rowOff>
    </xdr:from>
    <xdr:to>
      <xdr:col>12</xdr:col>
      <xdr:colOff>0</xdr:colOff>
      <xdr:row>1083</xdr:row>
      <xdr:rowOff>123825</xdr:rowOff>
    </xdr:to>
    <xdr:graphicFrame macro="">
      <xdr:nvGraphicFramePr>
        <xdr:cNvPr id="26" name="Chart 25" title="Bar chart of capital improvements">
          <a:extLst>
            <a:ext uri="{FF2B5EF4-FFF2-40B4-BE49-F238E27FC236}">
              <a16:creationId xmlns:a16="http://schemas.microsoft.com/office/drawing/2014/main" id="{00000000-0008-0000-0000-00001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fLocksWithSheet="0"/>
  </xdr:twoCellAnchor>
  <xdr:twoCellAnchor>
    <xdr:from>
      <xdr:col>1</xdr:col>
      <xdr:colOff>0</xdr:colOff>
      <xdr:row>1133</xdr:row>
      <xdr:rowOff>143097</xdr:rowOff>
    </xdr:from>
    <xdr:to>
      <xdr:col>12</xdr:col>
      <xdr:colOff>0</xdr:colOff>
      <xdr:row>1147</xdr:row>
      <xdr:rowOff>180975</xdr:rowOff>
    </xdr:to>
    <xdr:graphicFrame macro="">
      <xdr:nvGraphicFramePr>
        <xdr:cNvPr id="27" name="Chart 26" title="Bar chart of debt services">
          <a:extLst>
            <a:ext uri="{FF2B5EF4-FFF2-40B4-BE49-F238E27FC236}">
              <a16:creationId xmlns:a16="http://schemas.microsoft.com/office/drawing/2014/main" id="{00000000-0008-0000-0000-00001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fLocksWithSheet="0"/>
  </xdr:twoCellAnchor>
  <xdr:twoCellAnchor>
    <xdr:from>
      <xdr:col>1</xdr:col>
      <xdr:colOff>9525</xdr:colOff>
      <xdr:row>1198</xdr:row>
      <xdr:rowOff>167936</xdr:rowOff>
    </xdr:from>
    <xdr:to>
      <xdr:col>12</xdr:col>
      <xdr:colOff>9525</xdr:colOff>
      <xdr:row>1212</xdr:row>
      <xdr:rowOff>19050</xdr:rowOff>
    </xdr:to>
    <xdr:graphicFrame macro="">
      <xdr:nvGraphicFramePr>
        <xdr:cNvPr id="28" name="Chart 27" title="Bar chart of transfers">
          <a:extLst>
            <a:ext uri="{FF2B5EF4-FFF2-40B4-BE49-F238E27FC236}">
              <a16:creationId xmlns:a16="http://schemas.microsoft.com/office/drawing/2014/main" id="{00000000-0008-0000-0000-00001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fLocksWithSheet="0"/>
  </xdr:twoCellAnchor>
  <xdr:twoCellAnchor>
    <xdr:from>
      <xdr:col>1</xdr:col>
      <xdr:colOff>9525</xdr:colOff>
      <xdr:row>1262</xdr:row>
      <xdr:rowOff>4566</xdr:rowOff>
    </xdr:from>
    <xdr:to>
      <xdr:col>12</xdr:col>
      <xdr:colOff>9525</xdr:colOff>
      <xdr:row>1276</xdr:row>
      <xdr:rowOff>123825</xdr:rowOff>
    </xdr:to>
    <xdr:graphicFrame macro="">
      <xdr:nvGraphicFramePr>
        <xdr:cNvPr id="29" name="Chart 28" title="Bar chart of unencumbered cash balances by fund">
          <a:extLst>
            <a:ext uri="{FF2B5EF4-FFF2-40B4-BE49-F238E27FC236}">
              <a16:creationId xmlns:a16="http://schemas.microsoft.com/office/drawing/2014/main" id="{00000000-0008-0000-0000-00001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fLocksWithSheet="0"/>
  </xdr:twoCellAnchor>
  <xdr:twoCellAnchor>
    <xdr:from>
      <xdr:col>1</xdr:col>
      <xdr:colOff>0</xdr:colOff>
      <xdr:row>1289</xdr:row>
      <xdr:rowOff>154217</xdr:rowOff>
    </xdr:from>
    <xdr:to>
      <xdr:col>12</xdr:col>
      <xdr:colOff>0</xdr:colOff>
      <xdr:row>1305</xdr:row>
      <xdr:rowOff>92303</xdr:rowOff>
    </xdr:to>
    <xdr:graphicFrame macro="">
      <xdr:nvGraphicFramePr>
        <xdr:cNvPr id="30" name="Chart 29" title="Unencumbered cash balance in reserve funds.">
          <a:extLst>
            <a:ext uri="{FF2B5EF4-FFF2-40B4-BE49-F238E27FC236}">
              <a16:creationId xmlns:a16="http://schemas.microsoft.com/office/drawing/2014/main" id="{00000000-0008-0000-0000-00001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fLocksWithSheet="0"/>
  </xdr:twoCellAnchor>
  <xdr:twoCellAnchor>
    <xdr:from>
      <xdr:col>1</xdr:col>
      <xdr:colOff>0</xdr:colOff>
      <xdr:row>1333</xdr:row>
      <xdr:rowOff>165074</xdr:rowOff>
    </xdr:from>
    <xdr:to>
      <xdr:col>12</xdr:col>
      <xdr:colOff>0</xdr:colOff>
      <xdr:row>1349</xdr:row>
      <xdr:rowOff>105309</xdr:rowOff>
    </xdr:to>
    <xdr:graphicFrame macro="">
      <xdr:nvGraphicFramePr>
        <xdr:cNvPr id="31" name="Chart 30" title="Enrollment (FTE) used for calculating the amount per pupil.">
          <a:extLst>
            <a:ext uri="{FF2B5EF4-FFF2-40B4-BE49-F238E27FC236}">
              <a16:creationId xmlns:a16="http://schemas.microsoft.com/office/drawing/2014/main" id="{00000000-0008-0000-0000-00001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fLocksWithSheet="0"/>
  </xdr:twoCellAnchor>
  <xdr:twoCellAnchor>
    <xdr:from>
      <xdr:col>1</xdr:col>
      <xdr:colOff>0</xdr:colOff>
      <xdr:row>1351</xdr:row>
      <xdr:rowOff>161892</xdr:rowOff>
    </xdr:from>
    <xdr:to>
      <xdr:col>12</xdr:col>
      <xdr:colOff>3734</xdr:colOff>
      <xdr:row>1367</xdr:row>
      <xdr:rowOff>61505</xdr:rowOff>
    </xdr:to>
    <xdr:graphicFrame macro="">
      <xdr:nvGraphicFramePr>
        <xdr:cNvPr id="32" name="Chart 31" title="Low Income Students">
          <a:extLst>
            <a:ext uri="{FF2B5EF4-FFF2-40B4-BE49-F238E27FC236}">
              <a16:creationId xmlns:a16="http://schemas.microsoft.com/office/drawing/2014/main" id="{00000000-0008-0000-0000-00002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fLocksWithSheet="0"/>
  </xdr:twoCellAnchor>
  <xdr:twoCellAnchor>
    <xdr:from>
      <xdr:col>1</xdr:col>
      <xdr:colOff>0</xdr:colOff>
      <xdr:row>1316</xdr:row>
      <xdr:rowOff>126692</xdr:rowOff>
    </xdr:from>
    <xdr:to>
      <xdr:col>12</xdr:col>
      <xdr:colOff>0</xdr:colOff>
      <xdr:row>1332</xdr:row>
      <xdr:rowOff>98305</xdr:rowOff>
    </xdr:to>
    <xdr:graphicFrame macro="">
      <xdr:nvGraphicFramePr>
        <xdr:cNvPr id="33" name="Chart 32" title="Bar chart of FTE enrollment for budget authority">
          <a:extLst>
            <a:ext uri="{FF2B5EF4-FFF2-40B4-BE49-F238E27FC236}">
              <a16:creationId xmlns:a16="http://schemas.microsoft.com/office/drawing/2014/main" id="{00000000-0008-0000-0000-00002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fLocksWithSheet="0"/>
  </xdr:twoCellAnchor>
  <xdr:twoCellAnchor>
    <xdr:from>
      <xdr:col>1</xdr:col>
      <xdr:colOff>0</xdr:colOff>
      <xdr:row>1396</xdr:row>
      <xdr:rowOff>184727</xdr:rowOff>
    </xdr:from>
    <xdr:to>
      <xdr:col>12</xdr:col>
      <xdr:colOff>0</xdr:colOff>
      <xdr:row>1413</xdr:row>
      <xdr:rowOff>57150</xdr:rowOff>
    </xdr:to>
    <xdr:graphicFrame macro="">
      <xdr:nvGraphicFramePr>
        <xdr:cNvPr id="34" name="Chart 33" title="Bar chart of total U.S.D. mill rates">
          <a:extLst>
            <a:ext uri="{FF2B5EF4-FFF2-40B4-BE49-F238E27FC236}">
              <a16:creationId xmlns:a16="http://schemas.microsoft.com/office/drawing/2014/main" id="{00000000-0008-0000-0000-00002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fLocksWithSheet="0"/>
  </xdr:twoCellAnchor>
  <xdr:twoCellAnchor>
    <xdr:from>
      <xdr:col>1</xdr:col>
      <xdr:colOff>0</xdr:colOff>
      <xdr:row>1413</xdr:row>
      <xdr:rowOff>54264</xdr:rowOff>
    </xdr:from>
    <xdr:to>
      <xdr:col>12</xdr:col>
      <xdr:colOff>0</xdr:colOff>
      <xdr:row>1429</xdr:row>
      <xdr:rowOff>171450</xdr:rowOff>
    </xdr:to>
    <xdr:graphicFrame macro="">
      <xdr:nvGraphicFramePr>
        <xdr:cNvPr id="35" name="Chart 34" title="Pie chart of miscellaneous information mill rates by fund for total U.S.D.">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fLocksWithSheet="0"/>
  </xdr:twoCellAnchor>
  <xdr:twoCellAnchor>
    <xdr:from>
      <xdr:col>1</xdr:col>
      <xdr:colOff>0</xdr:colOff>
      <xdr:row>1443</xdr:row>
      <xdr:rowOff>180754</xdr:rowOff>
    </xdr:from>
    <xdr:to>
      <xdr:col>11</xdr:col>
      <xdr:colOff>500309</xdr:colOff>
      <xdr:row>1464</xdr:row>
      <xdr:rowOff>155864</xdr:rowOff>
    </xdr:to>
    <xdr:graphicFrame macro="">
      <xdr:nvGraphicFramePr>
        <xdr:cNvPr id="36" name="Chart 35" title="Bar chart of assessed valuation">
          <a:extLst>
            <a:ext uri="{FF2B5EF4-FFF2-40B4-BE49-F238E27FC236}">
              <a16:creationId xmlns:a16="http://schemas.microsoft.com/office/drawing/2014/main" id="{00000000-0008-0000-0000-00002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fLocksWithSheet="0"/>
  </xdr:twoCellAnchor>
  <xdr:twoCellAnchor>
    <xdr:from>
      <xdr:col>1</xdr:col>
      <xdr:colOff>0</xdr:colOff>
      <xdr:row>1469</xdr:row>
      <xdr:rowOff>125639</xdr:rowOff>
    </xdr:from>
    <xdr:to>
      <xdr:col>12</xdr:col>
      <xdr:colOff>0</xdr:colOff>
      <xdr:row>1490</xdr:row>
      <xdr:rowOff>173182</xdr:rowOff>
    </xdr:to>
    <xdr:graphicFrame macro="">
      <xdr:nvGraphicFramePr>
        <xdr:cNvPr id="37" name="Chart 36" title="Bar chart of bonded indebtedness">
          <a:extLst>
            <a:ext uri="{FF2B5EF4-FFF2-40B4-BE49-F238E27FC236}">
              <a16:creationId xmlns:a16="http://schemas.microsoft.com/office/drawing/2014/main" id="{00000000-0008-0000-0000-00002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fLocksWithSheet="0"/>
  </xdr:twoCellAnchor>
  <xdr:twoCellAnchor>
    <xdr:from>
      <xdr:col>1</xdr:col>
      <xdr:colOff>0</xdr:colOff>
      <xdr:row>46</xdr:row>
      <xdr:rowOff>59648</xdr:rowOff>
    </xdr:from>
    <xdr:to>
      <xdr:col>12</xdr:col>
      <xdr:colOff>0</xdr:colOff>
      <xdr:row>59</xdr:row>
      <xdr:rowOff>136638</xdr:rowOff>
    </xdr:to>
    <xdr:graphicFrame macro="">
      <xdr:nvGraphicFramePr>
        <xdr:cNvPr id="39" name="Chart 38" title="Pie chart of the summary of total expenditures by function">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fLocksWithSheet="0"/>
  </xdr:twoCellAnchor>
  <xdr:twoCellAnchor>
    <xdr:from>
      <xdr:col>0</xdr:col>
      <xdr:colOff>123824</xdr:colOff>
      <xdr:row>142</xdr:row>
      <xdr:rowOff>44824</xdr:rowOff>
    </xdr:from>
    <xdr:to>
      <xdr:col>11</xdr:col>
      <xdr:colOff>638174</xdr:colOff>
      <xdr:row>165</xdr:row>
      <xdr:rowOff>38100</xdr:rowOff>
    </xdr:to>
    <xdr:graphicFrame macro="">
      <xdr:nvGraphicFramePr>
        <xdr:cNvPr id="45" name="Chart 44" title="Bar chart of the summary of supplemental general expenditures by function">
          <a:extLst>
            <a:ext uri="{FF2B5EF4-FFF2-40B4-BE49-F238E27FC236}">
              <a16:creationId xmlns:a16="http://schemas.microsoft.com/office/drawing/2014/main" id="{00000000-0008-0000-0000-00002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
        </a:graphicData>
      </a:graphic>
    </xdr:graphicFrame>
    <xdr:clientData fLocksWithSheet="0"/>
  </xdr:twoCellAnchor>
  <xdr:twoCellAnchor>
    <xdr:from>
      <xdr:col>1</xdr:col>
      <xdr:colOff>0</xdr:colOff>
      <xdr:row>165</xdr:row>
      <xdr:rowOff>52328</xdr:rowOff>
    </xdr:from>
    <xdr:to>
      <xdr:col>12</xdr:col>
      <xdr:colOff>0</xdr:colOff>
      <xdr:row>185</xdr:row>
      <xdr:rowOff>111033</xdr:rowOff>
    </xdr:to>
    <xdr:graphicFrame macro="">
      <xdr:nvGraphicFramePr>
        <xdr:cNvPr id="46" name="Chart 45" title="Pie chart of the summary of supplemental general fund expenditures by function">
          <a:extLst>
            <a:ext uri="{FF2B5EF4-FFF2-40B4-BE49-F238E27FC236}">
              <a16:creationId xmlns:a16="http://schemas.microsoft.com/office/drawing/2014/main" id="{00000000-0008-0000-0000-00002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
        </a:graphicData>
      </a:graphic>
    </xdr:graphicFrame>
    <xdr:clientData fLocksWithSheet="0"/>
  </xdr:twoCellAnchor>
  <xdr:twoCellAnchor>
    <xdr:from>
      <xdr:col>1</xdr:col>
      <xdr:colOff>0</xdr:colOff>
      <xdr:row>206</xdr:row>
      <xdr:rowOff>4924</xdr:rowOff>
    </xdr:from>
    <xdr:to>
      <xdr:col>12</xdr:col>
      <xdr:colOff>0</xdr:colOff>
      <xdr:row>227</xdr:row>
      <xdr:rowOff>206630</xdr:rowOff>
    </xdr:to>
    <xdr:graphicFrame macro="">
      <xdr:nvGraphicFramePr>
        <xdr:cNvPr id="47" name="Chart 46" title="Bar chart of the summary of general and supplemental general fund expenditures by function">
          <a:extLst>
            <a:ext uri="{FF2B5EF4-FFF2-40B4-BE49-F238E27FC236}">
              <a16:creationId xmlns:a16="http://schemas.microsoft.com/office/drawing/2014/main" id="{00000000-0008-0000-0000-00002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7"/>
        </a:graphicData>
      </a:graphic>
    </xdr:graphicFrame>
    <xdr:clientData fLocksWithSheet="0"/>
  </xdr:twoCellAnchor>
  <xdr:twoCellAnchor>
    <xdr:from>
      <xdr:col>1</xdr:col>
      <xdr:colOff>0</xdr:colOff>
      <xdr:row>227</xdr:row>
      <xdr:rowOff>206122</xdr:rowOff>
    </xdr:from>
    <xdr:to>
      <xdr:col>12</xdr:col>
      <xdr:colOff>0</xdr:colOff>
      <xdr:row>248</xdr:row>
      <xdr:rowOff>134104</xdr:rowOff>
    </xdr:to>
    <xdr:graphicFrame macro="">
      <xdr:nvGraphicFramePr>
        <xdr:cNvPr id="48" name="Chart 47" title="Pie chart of the summary of general and supplemental general fund expenditures by function">
          <a:extLst>
            <a:ext uri="{FF2B5EF4-FFF2-40B4-BE49-F238E27FC236}">
              <a16:creationId xmlns:a16="http://schemas.microsoft.com/office/drawing/2014/main" id="{00000000-0008-0000-0000-00003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8"/>
        </a:graphicData>
      </a:graphic>
    </xdr:graphicFrame>
    <xdr:clientData fLocksWithSheet="0"/>
  </xdr:twoCellAnchor>
  <xdr:twoCellAnchor>
    <xdr:from>
      <xdr:col>1</xdr:col>
      <xdr:colOff>0</xdr:colOff>
      <xdr:row>271</xdr:row>
      <xdr:rowOff>159616</xdr:rowOff>
    </xdr:from>
    <xdr:to>
      <xdr:col>12</xdr:col>
      <xdr:colOff>0</xdr:colOff>
      <xdr:row>294</xdr:row>
      <xdr:rowOff>51811</xdr:rowOff>
    </xdr:to>
    <xdr:graphicFrame macro="">
      <xdr:nvGraphicFramePr>
        <xdr:cNvPr id="49" name="Chart 48" title="Bar chart of the summary of special education fund expenditures by function">
          <a:extLst>
            <a:ext uri="{FF2B5EF4-FFF2-40B4-BE49-F238E27FC236}">
              <a16:creationId xmlns:a16="http://schemas.microsoft.com/office/drawing/2014/main" id="{00000000-0008-0000-0000-00003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9"/>
        </a:graphicData>
      </a:graphic>
    </xdr:graphicFrame>
    <xdr:clientData fLocksWithSheet="0"/>
  </xdr:twoCellAnchor>
  <xdr:twoCellAnchor>
    <xdr:from>
      <xdr:col>1</xdr:col>
      <xdr:colOff>0</xdr:colOff>
      <xdr:row>294</xdr:row>
      <xdr:rowOff>189923</xdr:rowOff>
    </xdr:from>
    <xdr:to>
      <xdr:col>12</xdr:col>
      <xdr:colOff>0</xdr:colOff>
      <xdr:row>314</xdr:row>
      <xdr:rowOff>83434</xdr:rowOff>
    </xdr:to>
    <xdr:graphicFrame macro="">
      <xdr:nvGraphicFramePr>
        <xdr:cNvPr id="50" name="Chart 49" title="Pie chart of the summary of special education fund by function">
          <a:extLst>
            <a:ext uri="{FF2B5EF4-FFF2-40B4-BE49-F238E27FC236}">
              <a16:creationId xmlns:a16="http://schemas.microsoft.com/office/drawing/2014/main" id="{00000000-0008-0000-0000-00003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0"/>
        </a:graphicData>
      </a:graphic>
    </xdr:graphicFrame>
    <xdr:clientData fLocksWithSheet="0"/>
  </xdr:twoCellAnchor>
  <xdr:twoCellAnchor>
    <xdr:from>
      <xdr:col>1</xdr:col>
      <xdr:colOff>0</xdr:colOff>
      <xdr:row>684</xdr:row>
      <xdr:rowOff>118459</xdr:rowOff>
    </xdr:from>
    <xdr:to>
      <xdr:col>12</xdr:col>
      <xdr:colOff>0</xdr:colOff>
      <xdr:row>698</xdr:row>
      <xdr:rowOff>133350</xdr:rowOff>
    </xdr:to>
    <xdr:graphicFrame macro="">
      <xdr:nvGraphicFramePr>
        <xdr:cNvPr id="42" name="Chart 41" title="Bar chart of central services expenditures">
          <a:extLst>
            <a:ext uri="{FF2B5EF4-FFF2-40B4-BE49-F238E27FC236}">
              <a16:creationId xmlns:a16="http://schemas.microsoft.com/office/drawing/2014/main" id="{00000000-0008-0000-0000-00002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1"/>
        </a:graphicData>
      </a:graphic>
    </xdr:graphicFrame>
    <xdr:clientData fLocksWithSheet="0"/>
  </xdr:twoCellAnchor>
  <xdr:twoCellAnchor>
    <xdr:from>
      <xdr:col>1</xdr:col>
      <xdr:colOff>0</xdr:colOff>
      <xdr:row>876</xdr:row>
      <xdr:rowOff>159106</xdr:rowOff>
    </xdr:from>
    <xdr:to>
      <xdr:col>12</xdr:col>
      <xdr:colOff>0</xdr:colOff>
      <xdr:row>891</xdr:row>
      <xdr:rowOff>47625</xdr:rowOff>
    </xdr:to>
    <xdr:graphicFrame macro="">
      <xdr:nvGraphicFramePr>
        <xdr:cNvPr id="44" name="Chart 43" title="Bar chart of other support services expenditures">
          <a:extLst>
            <a:ext uri="{FF2B5EF4-FFF2-40B4-BE49-F238E27FC236}">
              <a16:creationId xmlns:a16="http://schemas.microsoft.com/office/drawing/2014/main" id="{00000000-0008-0000-0000-00002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2"/>
        </a:graphicData>
      </a:graphic>
    </xdr:graphicFrame>
    <xdr:clientData fLocksWithSheet="0"/>
  </xdr:twoCellAnchor>
  <xdr:oneCellAnchor>
    <xdr:from>
      <xdr:col>14</xdr:col>
      <xdr:colOff>442546</xdr:colOff>
      <xdr:row>1</xdr:row>
      <xdr:rowOff>0</xdr:rowOff>
    </xdr:from>
    <xdr:ext cx="184730" cy="530658"/>
    <xdr:sp macro="" textlink="">
      <xdr:nvSpPr>
        <xdr:cNvPr id="40" name="Rectangle 39">
          <a:extLst>
            <a:ext uri="{FF2B5EF4-FFF2-40B4-BE49-F238E27FC236}">
              <a16:creationId xmlns:a16="http://schemas.microsoft.com/office/drawing/2014/main" id="{00000000-0008-0000-0000-000028000000}"/>
            </a:ext>
          </a:extLst>
        </xdr:cNvPr>
        <xdr:cNvSpPr/>
      </xdr:nvSpPr>
      <xdr:spPr>
        <a:xfrm>
          <a:off x="10681921" y="209550"/>
          <a:ext cx="184730" cy="530658"/>
        </a:xfrm>
        <a:prstGeom prst="rect">
          <a:avLst/>
        </a:prstGeom>
        <a:noFill/>
      </xdr:spPr>
      <xdr:txBody>
        <a:bodyPr wrap="none" lIns="91440" tIns="45720" rIns="91440" bIns="45720">
          <a:spAutoFit/>
        </a:bodyPr>
        <a:lstStyle/>
        <a:p>
          <a:pPr algn="ctr"/>
          <a:endParaRPr lang="en-US" sz="2800" b="0" cap="none" spc="0">
            <a:ln w="22225">
              <a:solidFill>
                <a:schemeClr val="accent2"/>
              </a:solidFill>
              <a:prstDash val="solid"/>
            </a:ln>
            <a:solidFill>
              <a:srgbClr val="FF0000"/>
            </a:solidFill>
            <a:effectLst/>
          </a:endParaRPr>
        </a:p>
      </xdr:txBody>
    </xdr:sp>
    <xdr:clientData/>
  </xdr:oneCellAnchor>
  <xdr:twoCellAnchor>
    <xdr:from>
      <xdr:col>1</xdr:col>
      <xdr:colOff>0</xdr:colOff>
      <xdr:row>363</xdr:row>
      <xdr:rowOff>69274</xdr:rowOff>
    </xdr:from>
    <xdr:to>
      <xdr:col>5</xdr:col>
      <xdr:colOff>710045</xdr:colOff>
      <xdr:row>377</xdr:row>
      <xdr:rowOff>180975</xdr:rowOff>
    </xdr:to>
    <xdr:graphicFrame macro="">
      <xdr:nvGraphicFramePr>
        <xdr:cNvPr id="51" name="Chart 50" title="Bar chart of instruction expenditures">
          <a:extLst>
            <a:ext uri="{FF2B5EF4-FFF2-40B4-BE49-F238E27FC236}">
              <a16:creationId xmlns:a16="http://schemas.microsoft.com/office/drawing/2014/main" id="{00000000-0008-0000-0000-00003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3"/>
        </a:graphicData>
      </a:graphic>
    </xdr:graphicFrame>
    <xdr:clientData fLocksWithSheet="0"/>
  </xdr:twoCellAnchor>
  <xdr:twoCellAnchor>
    <xdr:from>
      <xdr:col>5</xdr:col>
      <xdr:colOff>744682</xdr:colOff>
      <xdr:row>363</xdr:row>
      <xdr:rowOff>69274</xdr:rowOff>
    </xdr:from>
    <xdr:to>
      <xdr:col>12</xdr:col>
      <xdr:colOff>0</xdr:colOff>
      <xdr:row>377</xdr:row>
      <xdr:rowOff>180976</xdr:rowOff>
    </xdr:to>
    <xdr:graphicFrame macro="">
      <xdr:nvGraphicFramePr>
        <xdr:cNvPr id="43" name="Chart 42" title="Bar chart of instruction expenditures">
          <a:extLst>
            <a:ext uri="{FF2B5EF4-FFF2-40B4-BE49-F238E27FC236}">
              <a16:creationId xmlns:a16="http://schemas.microsoft.com/office/drawing/2014/main" id="{00000000-0008-0000-0000-00002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4"/>
        </a:graphicData>
      </a:graphic>
    </xdr:graphicFrame>
    <xdr:clientData fLocksWithSheet="0"/>
  </xdr:twoCellAnchor>
  <mc:AlternateContent xmlns:mc="http://schemas.openxmlformats.org/markup-compatibility/2006">
    <mc:Choice xmlns:a14="http://schemas.microsoft.com/office/drawing/2010/main" Requires="a14">
      <xdr:twoCellAnchor editAs="oneCell">
        <xdr:from>
          <xdr:col>0</xdr:col>
          <xdr:colOff>0</xdr:colOff>
          <xdr:row>424</xdr:row>
          <xdr:rowOff>0</xdr:rowOff>
        </xdr:from>
        <xdr:to>
          <xdr:col>12</xdr:col>
          <xdr:colOff>0</xdr:colOff>
          <xdr:row>428</xdr:row>
          <xdr:rowOff>19050</xdr:rowOff>
        </xdr:to>
        <xdr:pic>
          <xdr:nvPicPr>
            <xdr:cNvPr id="53" name="Picture 52">
              <a:extLst>
                <a:ext uri="{FF2B5EF4-FFF2-40B4-BE49-F238E27FC236}">
                  <a16:creationId xmlns:a16="http://schemas.microsoft.com/office/drawing/2014/main" id="{177336F1-B241-4C88-9244-E42DE62A9297}"/>
                </a:ext>
              </a:extLst>
            </xdr:cNvPr>
            <xdr:cNvPicPr>
              <a:picLocks noChangeAspect="1" noChangeArrowheads="1"/>
              <a:extLst>
                <a:ext uri="{84589F7E-364E-4C9E-8A38-B11213B215E9}">
                  <a14:cameraTool cellRange="$B$361:$L$363" spid="_x0000_s87513"/>
                </a:ext>
              </a:extLst>
            </xdr:cNvPicPr>
          </xdr:nvPicPr>
          <xdr:blipFill>
            <a:blip xmlns:r="http://schemas.openxmlformats.org/officeDocument/2006/relationships" r:embed="rId35"/>
            <a:srcRect/>
            <a:stretch>
              <a:fillRect/>
            </a:stretch>
          </xdr:blipFill>
          <xdr:spPr bwMode="auto">
            <a:xfrm>
              <a:off x="0" y="79619475"/>
              <a:ext cx="9505950" cy="77152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488</xdr:row>
          <xdr:rowOff>0</xdr:rowOff>
        </xdr:from>
        <xdr:to>
          <xdr:col>12</xdr:col>
          <xdr:colOff>0</xdr:colOff>
          <xdr:row>492</xdr:row>
          <xdr:rowOff>57150</xdr:rowOff>
        </xdr:to>
        <xdr:pic>
          <xdr:nvPicPr>
            <xdr:cNvPr id="55" name="Picture 54">
              <a:extLst>
                <a:ext uri="{FF2B5EF4-FFF2-40B4-BE49-F238E27FC236}">
                  <a16:creationId xmlns:a16="http://schemas.microsoft.com/office/drawing/2014/main" id="{E2591077-794F-45C5-B916-C222F48A808F}"/>
                </a:ext>
              </a:extLst>
            </xdr:cNvPr>
            <xdr:cNvPicPr>
              <a:picLocks noChangeAspect="1" noChangeArrowheads="1"/>
              <a:extLst>
                <a:ext uri="{84589F7E-364E-4C9E-8A38-B11213B215E9}">
                  <a14:cameraTool cellRange="$B$361:$L$363" spid="_x0000_s87514"/>
                </a:ext>
              </a:extLst>
            </xdr:cNvPicPr>
          </xdr:nvPicPr>
          <xdr:blipFill>
            <a:blip xmlns:r="http://schemas.openxmlformats.org/officeDocument/2006/relationships" r:embed="rId35"/>
            <a:srcRect/>
            <a:stretch>
              <a:fillRect/>
            </a:stretch>
          </xdr:blipFill>
          <xdr:spPr bwMode="auto">
            <a:xfrm>
              <a:off x="0" y="91354275"/>
              <a:ext cx="9505950" cy="77152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553</xdr:row>
          <xdr:rowOff>0</xdr:rowOff>
        </xdr:from>
        <xdr:to>
          <xdr:col>12</xdr:col>
          <xdr:colOff>0</xdr:colOff>
          <xdr:row>557</xdr:row>
          <xdr:rowOff>57150</xdr:rowOff>
        </xdr:to>
        <xdr:pic>
          <xdr:nvPicPr>
            <xdr:cNvPr id="56" name="Picture 55">
              <a:extLst>
                <a:ext uri="{FF2B5EF4-FFF2-40B4-BE49-F238E27FC236}">
                  <a16:creationId xmlns:a16="http://schemas.microsoft.com/office/drawing/2014/main" id="{65F11BF2-A10B-45DA-9408-5C962727B2A6}"/>
                </a:ext>
              </a:extLst>
            </xdr:cNvPr>
            <xdr:cNvPicPr>
              <a:picLocks noChangeAspect="1" noChangeArrowheads="1"/>
              <a:extLst>
                <a:ext uri="{84589F7E-364E-4C9E-8A38-B11213B215E9}">
                  <a14:cameraTool cellRange="$B$361:$L$363" spid="_x0000_s87515"/>
                </a:ext>
              </a:extLst>
            </xdr:cNvPicPr>
          </xdr:nvPicPr>
          <xdr:blipFill>
            <a:blip xmlns:r="http://schemas.openxmlformats.org/officeDocument/2006/relationships" r:embed="rId35"/>
            <a:srcRect/>
            <a:stretch>
              <a:fillRect/>
            </a:stretch>
          </xdr:blipFill>
          <xdr:spPr bwMode="auto">
            <a:xfrm>
              <a:off x="0" y="103079550"/>
              <a:ext cx="9505950" cy="77152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617</xdr:row>
          <xdr:rowOff>0</xdr:rowOff>
        </xdr:from>
        <xdr:to>
          <xdr:col>12</xdr:col>
          <xdr:colOff>0</xdr:colOff>
          <xdr:row>621</xdr:row>
          <xdr:rowOff>57150</xdr:rowOff>
        </xdr:to>
        <xdr:pic>
          <xdr:nvPicPr>
            <xdr:cNvPr id="57" name="Picture 56">
              <a:extLst>
                <a:ext uri="{FF2B5EF4-FFF2-40B4-BE49-F238E27FC236}">
                  <a16:creationId xmlns:a16="http://schemas.microsoft.com/office/drawing/2014/main" id="{24193AED-A2E5-4033-A946-979A55EA4BC5}"/>
                </a:ext>
              </a:extLst>
            </xdr:cNvPr>
            <xdr:cNvPicPr>
              <a:picLocks noChangeAspect="1" noChangeArrowheads="1"/>
              <a:extLst>
                <a:ext uri="{84589F7E-364E-4C9E-8A38-B11213B215E9}">
                  <a14:cameraTool cellRange="$B$361:$L$363" spid="_x0000_s87516"/>
                </a:ext>
              </a:extLst>
            </xdr:cNvPicPr>
          </xdr:nvPicPr>
          <xdr:blipFill>
            <a:blip xmlns:r="http://schemas.openxmlformats.org/officeDocument/2006/relationships" r:embed="rId35"/>
            <a:srcRect/>
            <a:stretch>
              <a:fillRect/>
            </a:stretch>
          </xdr:blipFill>
          <xdr:spPr bwMode="auto">
            <a:xfrm>
              <a:off x="0" y="114719100"/>
              <a:ext cx="9505950" cy="77152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681</xdr:row>
          <xdr:rowOff>0</xdr:rowOff>
        </xdr:from>
        <xdr:to>
          <xdr:col>12</xdr:col>
          <xdr:colOff>0</xdr:colOff>
          <xdr:row>685</xdr:row>
          <xdr:rowOff>57150</xdr:rowOff>
        </xdr:to>
        <xdr:pic>
          <xdr:nvPicPr>
            <xdr:cNvPr id="62" name="Picture 61">
              <a:extLst>
                <a:ext uri="{FF2B5EF4-FFF2-40B4-BE49-F238E27FC236}">
                  <a16:creationId xmlns:a16="http://schemas.microsoft.com/office/drawing/2014/main" id="{8A1D7DCE-677D-4B4C-9CD5-72DB8B7AABA7}"/>
                </a:ext>
              </a:extLst>
            </xdr:cNvPr>
            <xdr:cNvPicPr>
              <a:picLocks noChangeAspect="1" noChangeArrowheads="1"/>
              <a:extLst>
                <a:ext uri="{84589F7E-364E-4C9E-8A38-B11213B215E9}">
                  <a14:cameraTool cellRange="$B$361:$L$363" spid="_x0000_s87517"/>
                </a:ext>
              </a:extLst>
            </xdr:cNvPicPr>
          </xdr:nvPicPr>
          <xdr:blipFill>
            <a:blip xmlns:r="http://schemas.openxmlformats.org/officeDocument/2006/relationships" r:embed="rId36"/>
            <a:srcRect/>
            <a:stretch>
              <a:fillRect/>
            </a:stretch>
          </xdr:blipFill>
          <xdr:spPr bwMode="auto">
            <a:xfrm>
              <a:off x="0" y="126358650"/>
              <a:ext cx="9505950" cy="77152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745</xdr:row>
          <xdr:rowOff>0</xdr:rowOff>
        </xdr:from>
        <xdr:to>
          <xdr:col>12</xdr:col>
          <xdr:colOff>0</xdr:colOff>
          <xdr:row>749</xdr:row>
          <xdr:rowOff>57150</xdr:rowOff>
        </xdr:to>
        <xdr:pic>
          <xdr:nvPicPr>
            <xdr:cNvPr id="63" name="Picture 62">
              <a:extLst>
                <a:ext uri="{FF2B5EF4-FFF2-40B4-BE49-F238E27FC236}">
                  <a16:creationId xmlns:a16="http://schemas.microsoft.com/office/drawing/2014/main" id="{5098BB48-1FC1-426E-8531-4B7144D2719A}"/>
                </a:ext>
              </a:extLst>
            </xdr:cNvPr>
            <xdr:cNvPicPr>
              <a:picLocks noChangeAspect="1" noChangeArrowheads="1"/>
              <a:extLst>
                <a:ext uri="{84589F7E-364E-4C9E-8A38-B11213B215E9}">
                  <a14:cameraTool cellRange="$B$361:$L$363" spid="_x0000_s87518"/>
                </a:ext>
              </a:extLst>
            </xdr:cNvPicPr>
          </xdr:nvPicPr>
          <xdr:blipFill>
            <a:blip xmlns:r="http://schemas.openxmlformats.org/officeDocument/2006/relationships" r:embed="rId35"/>
            <a:srcRect/>
            <a:stretch>
              <a:fillRect/>
            </a:stretch>
          </xdr:blipFill>
          <xdr:spPr bwMode="auto">
            <a:xfrm>
              <a:off x="0" y="137998200"/>
              <a:ext cx="9505950" cy="77152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809</xdr:row>
          <xdr:rowOff>0</xdr:rowOff>
        </xdr:from>
        <xdr:to>
          <xdr:col>12</xdr:col>
          <xdr:colOff>0</xdr:colOff>
          <xdr:row>813</xdr:row>
          <xdr:rowOff>57150</xdr:rowOff>
        </xdr:to>
        <xdr:pic>
          <xdr:nvPicPr>
            <xdr:cNvPr id="67" name="Picture 66">
              <a:extLst>
                <a:ext uri="{FF2B5EF4-FFF2-40B4-BE49-F238E27FC236}">
                  <a16:creationId xmlns:a16="http://schemas.microsoft.com/office/drawing/2014/main" id="{34ED169A-5488-410E-AEEA-7897C27472F1}"/>
                </a:ext>
              </a:extLst>
            </xdr:cNvPr>
            <xdr:cNvPicPr>
              <a:picLocks noChangeAspect="1" noChangeArrowheads="1"/>
              <a:extLst>
                <a:ext uri="{84589F7E-364E-4C9E-8A38-B11213B215E9}">
                  <a14:cameraTool cellRange="$B$361:$L$363" spid="_x0000_s87519"/>
                </a:ext>
              </a:extLst>
            </xdr:cNvPicPr>
          </xdr:nvPicPr>
          <xdr:blipFill>
            <a:blip xmlns:r="http://schemas.openxmlformats.org/officeDocument/2006/relationships" r:embed="rId35"/>
            <a:srcRect/>
            <a:stretch>
              <a:fillRect/>
            </a:stretch>
          </xdr:blipFill>
          <xdr:spPr bwMode="auto">
            <a:xfrm>
              <a:off x="0" y="149713950"/>
              <a:ext cx="9505950" cy="77152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873</xdr:row>
          <xdr:rowOff>0</xdr:rowOff>
        </xdr:from>
        <xdr:to>
          <xdr:col>12</xdr:col>
          <xdr:colOff>0</xdr:colOff>
          <xdr:row>877</xdr:row>
          <xdr:rowOff>57150</xdr:rowOff>
        </xdr:to>
        <xdr:pic>
          <xdr:nvPicPr>
            <xdr:cNvPr id="77" name="Picture 76">
              <a:extLst>
                <a:ext uri="{FF2B5EF4-FFF2-40B4-BE49-F238E27FC236}">
                  <a16:creationId xmlns:a16="http://schemas.microsoft.com/office/drawing/2014/main" id="{BADBCAEF-FB26-4C1F-A012-2DDF241AB2EE}"/>
                </a:ext>
              </a:extLst>
            </xdr:cNvPr>
            <xdr:cNvPicPr>
              <a:picLocks noChangeAspect="1" noChangeArrowheads="1"/>
              <a:extLst>
                <a:ext uri="{84589F7E-364E-4C9E-8A38-B11213B215E9}">
                  <a14:cameraTool cellRange="$B$361:$L$363" spid="_x0000_s87520"/>
                </a:ext>
              </a:extLst>
            </xdr:cNvPicPr>
          </xdr:nvPicPr>
          <xdr:blipFill>
            <a:blip xmlns:r="http://schemas.openxmlformats.org/officeDocument/2006/relationships" r:embed="rId35"/>
            <a:srcRect/>
            <a:stretch>
              <a:fillRect/>
            </a:stretch>
          </xdr:blipFill>
          <xdr:spPr bwMode="auto">
            <a:xfrm>
              <a:off x="0" y="161429700"/>
              <a:ext cx="9505950" cy="77152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937</xdr:row>
          <xdr:rowOff>0</xdr:rowOff>
        </xdr:from>
        <xdr:to>
          <xdr:col>12</xdr:col>
          <xdr:colOff>0</xdr:colOff>
          <xdr:row>941</xdr:row>
          <xdr:rowOff>57150</xdr:rowOff>
        </xdr:to>
        <xdr:pic>
          <xdr:nvPicPr>
            <xdr:cNvPr id="78" name="Picture 77">
              <a:extLst>
                <a:ext uri="{FF2B5EF4-FFF2-40B4-BE49-F238E27FC236}">
                  <a16:creationId xmlns:a16="http://schemas.microsoft.com/office/drawing/2014/main" id="{07F1DAAB-6ADC-4AEE-A529-97495219EFDF}"/>
                </a:ext>
              </a:extLst>
            </xdr:cNvPr>
            <xdr:cNvPicPr>
              <a:picLocks noChangeAspect="1" noChangeArrowheads="1"/>
              <a:extLst>
                <a:ext uri="{84589F7E-364E-4C9E-8A38-B11213B215E9}">
                  <a14:cameraTool cellRange="$B$361:$L$363" spid="_x0000_s87521"/>
                </a:ext>
              </a:extLst>
            </xdr:cNvPicPr>
          </xdr:nvPicPr>
          <xdr:blipFill>
            <a:blip xmlns:r="http://schemas.openxmlformats.org/officeDocument/2006/relationships" r:embed="rId35"/>
            <a:srcRect/>
            <a:stretch>
              <a:fillRect/>
            </a:stretch>
          </xdr:blipFill>
          <xdr:spPr bwMode="auto">
            <a:xfrm>
              <a:off x="0" y="173069250"/>
              <a:ext cx="9505950" cy="77152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1001</xdr:row>
          <xdr:rowOff>0</xdr:rowOff>
        </xdr:from>
        <xdr:to>
          <xdr:col>12</xdr:col>
          <xdr:colOff>0</xdr:colOff>
          <xdr:row>1005</xdr:row>
          <xdr:rowOff>57150</xdr:rowOff>
        </xdr:to>
        <xdr:pic>
          <xdr:nvPicPr>
            <xdr:cNvPr id="80" name="Picture 79">
              <a:extLst>
                <a:ext uri="{FF2B5EF4-FFF2-40B4-BE49-F238E27FC236}">
                  <a16:creationId xmlns:a16="http://schemas.microsoft.com/office/drawing/2014/main" id="{31EB00B9-402E-457E-ABBA-7FA9A371BBF8}"/>
                </a:ext>
              </a:extLst>
            </xdr:cNvPr>
            <xdr:cNvPicPr>
              <a:picLocks noChangeAspect="1" noChangeArrowheads="1"/>
              <a:extLst>
                <a:ext uri="{84589F7E-364E-4C9E-8A38-B11213B215E9}">
                  <a14:cameraTool cellRange="$B$361:$L$363" spid="_x0000_s87522"/>
                </a:ext>
              </a:extLst>
            </xdr:cNvPicPr>
          </xdr:nvPicPr>
          <xdr:blipFill>
            <a:blip xmlns:r="http://schemas.openxmlformats.org/officeDocument/2006/relationships" r:embed="rId35"/>
            <a:srcRect/>
            <a:stretch>
              <a:fillRect/>
            </a:stretch>
          </xdr:blipFill>
          <xdr:spPr bwMode="auto">
            <a:xfrm>
              <a:off x="0" y="184765950"/>
              <a:ext cx="9505950" cy="77152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1066</xdr:row>
          <xdr:rowOff>0</xdr:rowOff>
        </xdr:from>
        <xdr:to>
          <xdr:col>12</xdr:col>
          <xdr:colOff>0</xdr:colOff>
          <xdr:row>1070</xdr:row>
          <xdr:rowOff>57150</xdr:rowOff>
        </xdr:to>
        <xdr:pic>
          <xdr:nvPicPr>
            <xdr:cNvPr id="82" name="Picture 81">
              <a:extLst>
                <a:ext uri="{FF2B5EF4-FFF2-40B4-BE49-F238E27FC236}">
                  <a16:creationId xmlns:a16="http://schemas.microsoft.com/office/drawing/2014/main" id="{E38493D4-B3B9-4AB6-810C-BA9B7FF2008F}"/>
                </a:ext>
              </a:extLst>
            </xdr:cNvPr>
            <xdr:cNvPicPr>
              <a:picLocks noChangeAspect="1" noChangeArrowheads="1"/>
              <a:extLst>
                <a:ext uri="{84589F7E-364E-4C9E-8A38-B11213B215E9}">
                  <a14:cameraTool cellRange="$B$361:$L$363" spid="_x0000_s87523"/>
                </a:ext>
              </a:extLst>
            </xdr:cNvPicPr>
          </xdr:nvPicPr>
          <xdr:blipFill>
            <a:blip xmlns:r="http://schemas.openxmlformats.org/officeDocument/2006/relationships" r:embed="rId35"/>
            <a:srcRect/>
            <a:stretch>
              <a:fillRect/>
            </a:stretch>
          </xdr:blipFill>
          <xdr:spPr bwMode="auto">
            <a:xfrm>
              <a:off x="0" y="196405500"/>
              <a:ext cx="9505950" cy="77152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1130</xdr:row>
          <xdr:rowOff>0</xdr:rowOff>
        </xdr:from>
        <xdr:to>
          <xdr:col>12</xdr:col>
          <xdr:colOff>0</xdr:colOff>
          <xdr:row>1134</xdr:row>
          <xdr:rowOff>57150</xdr:rowOff>
        </xdr:to>
        <xdr:pic>
          <xdr:nvPicPr>
            <xdr:cNvPr id="83" name="Picture 82">
              <a:extLst>
                <a:ext uri="{FF2B5EF4-FFF2-40B4-BE49-F238E27FC236}">
                  <a16:creationId xmlns:a16="http://schemas.microsoft.com/office/drawing/2014/main" id="{B8838027-F86C-4FA7-A86D-6F215A5A51AA}"/>
                </a:ext>
              </a:extLst>
            </xdr:cNvPr>
            <xdr:cNvPicPr>
              <a:picLocks noChangeAspect="1" noChangeArrowheads="1"/>
              <a:extLst>
                <a:ext uri="{84589F7E-364E-4C9E-8A38-B11213B215E9}">
                  <a14:cameraTool cellRange="$B$361:$L$363" spid="_x0000_s87524"/>
                </a:ext>
              </a:extLst>
            </xdr:cNvPicPr>
          </xdr:nvPicPr>
          <xdr:blipFill>
            <a:blip xmlns:r="http://schemas.openxmlformats.org/officeDocument/2006/relationships" r:embed="rId35"/>
            <a:srcRect/>
            <a:stretch>
              <a:fillRect/>
            </a:stretch>
          </xdr:blipFill>
          <xdr:spPr bwMode="auto">
            <a:xfrm>
              <a:off x="0" y="208045050"/>
              <a:ext cx="9505950" cy="77152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1195</xdr:row>
          <xdr:rowOff>0</xdr:rowOff>
        </xdr:from>
        <xdr:to>
          <xdr:col>12</xdr:col>
          <xdr:colOff>0</xdr:colOff>
          <xdr:row>1199</xdr:row>
          <xdr:rowOff>57150</xdr:rowOff>
        </xdr:to>
        <xdr:pic>
          <xdr:nvPicPr>
            <xdr:cNvPr id="84" name="Picture 83">
              <a:extLst>
                <a:ext uri="{FF2B5EF4-FFF2-40B4-BE49-F238E27FC236}">
                  <a16:creationId xmlns:a16="http://schemas.microsoft.com/office/drawing/2014/main" id="{4BF3D036-FCCE-4D31-8C19-06DEA3B2075D}"/>
                </a:ext>
              </a:extLst>
            </xdr:cNvPr>
            <xdr:cNvPicPr>
              <a:picLocks noChangeAspect="1" noChangeArrowheads="1"/>
              <a:extLst>
                <a:ext uri="{84589F7E-364E-4C9E-8A38-B11213B215E9}">
                  <a14:cameraTool cellRange="$B$361:$L$363" spid="_x0000_s87525"/>
                </a:ext>
              </a:extLst>
            </xdr:cNvPicPr>
          </xdr:nvPicPr>
          <xdr:blipFill>
            <a:blip xmlns:r="http://schemas.openxmlformats.org/officeDocument/2006/relationships" r:embed="rId35"/>
            <a:srcRect/>
            <a:stretch>
              <a:fillRect/>
            </a:stretch>
          </xdr:blipFill>
          <xdr:spPr bwMode="auto">
            <a:xfrm>
              <a:off x="0" y="219951300"/>
              <a:ext cx="9505950" cy="77152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1258</xdr:row>
          <xdr:rowOff>0</xdr:rowOff>
        </xdr:from>
        <xdr:to>
          <xdr:col>12</xdr:col>
          <xdr:colOff>0</xdr:colOff>
          <xdr:row>1262</xdr:row>
          <xdr:rowOff>57150</xdr:rowOff>
        </xdr:to>
        <xdr:pic>
          <xdr:nvPicPr>
            <xdr:cNvPr id="85" name="Picture 84">
              <a:extLst>
                <a:ext uri="{FF2B5EF4-FFF2-40B4-BE49-F238E27FC236}">
                  <a16:creationId xmlns:a16="http://schemas.microsoft.com/office/drawing/2014/main" id="{1D7E53AE-08D2-4DF4-96B4-8049C023870C}"/>
                </a:ext>
              </a:extLst>
            </xdr:cNvPr>
            <xdr:cNvPicPr>
              <a:picLocks noChangeAspect="1" noChangeArrowheads="1"/>
              <a:extLst>
                <a:ext uri="{84589F7E-364E-4C9E-8A38-B11213B215E9}">
                  <a14:cameraTool cellRange="$B$361:$L$363" spid="_x0000_s87526"/>
                </a:ext>
              </a:extLst>
            </xdr:cNvPicPr>
          </xdr:nvPicPr>
          <xdr:blipFill>
            <a:blip xmlns:r="http://schemas.openxmlformats.org/officeDocument/2006/relationships" r:embed="rId35"/>
            <a:srcRect/>
            <a:stretch>
              <a:fillRect/>
            </a:stretch>
          </xdr:blipFill>
          <xdr:spPr bwMode="auto">
            <a:xfrm>
              <a:off x="0" y="231457500"/>
              <a:ext cx="9505950" cy="771525"/>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0</xdr:col>
      <xdr:colOff>0</xdr:colOff>
      <xdr:row>16</xdr:row>
      <xdr:rowOff>8987</xdr:rowOff>
    </xdr:from>
    <xdr:to>
      <xdr:col>7</xdr:col>
      <xdr:colOff>224646</xdr:colOff>
      <xdr:row>31</xdr:row>
      <xdr:rowOff>8986</xdr:rowOff>
    </xdr:to>
    <xdr:graphicFrame macro="">
      <xdr:nvGraphicFramePr>
        <xdr:cNvPr id="21" name="Chart 20" title="Bar chart of instruction expenditures">
          <a:extLst>
            <a:ext uri="{FF2B5EF4-FFF2-40B4-BE49-F238E27FC236}">
              <a16:creationId xmlns:a16="http://schemas.microsoft.com/office/drawing/2014/main" id="{00000000-0008-0000-0200-00001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xdr:from>
      <xdr:col>7</xdr:col>
      <xdr:colOff>224646</xdr:colOff>
      <xdr:row>16</xdr:row>
      <xdr:rowOff>8986</xdr:rowOff>
    </xdr:from>
    <xdr:to>
      <xdr:col>15</xdr:col>
      <xdr:colOff>0</xdr:colOff>
      <xdr:row>31</xdr:row>
      <xdr:rowOff>8985</xdr:rowOff>
    </xdr:to>
    <xdr:graphicFrame macro="">
      <xdr:nvGraphicFramePr>
        <xdr:cNvPr id="23" name="Chart 22" title="Bar chart of the FTE enrollment for budget authority">
          <a:extLst>
            <a:ext uri="{FF2B5EF4-FFF2-40B4-BE49-F238E27FC236}">
              <a16:creationId xmlns:a16="http://schemas.microsoft.com/office/drawing/2014/main" id="{00000000-0008-0000-0200-00001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twoCellAnchor>
  <xdr:twoCellAnchor>
    <xdr:from>
      <xdr:col>0</xdr:col>
      <xdr:colOff>0</xdr:colOff>
      <xdr:row>46</xdr:row>
      <xdr:rowOff>1</xdr:rowOff>
    </xdr:from>
    <xdr:to>
      <xdr:col>7</xdr:col>
      <xdr:colOff>224646</xdr:colOff>
      <xdr:row>61</xdr:row>
      <xdr:rowOff>1</xdr:rowOff>
    </xdr:to>
    <xdr:graphicFrame macro="">
      <xdr:nvGraphicFramePr>
        <xdr:cNvPr id="27" name="Chart 26" title="Bar chart of the total U.S.D. mill rates">
          <a:extLst>
            <a:ext uri="{FF2B5EF4-FFF2-40B4-BE49-F238E27FC236}">
              <a16:creationId xmlns:a16="http://schemas.microsoft.com/office/drawing/2014/main" id="{00000000-0008-0000-0200-00001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fLocksWithSheet="0"/>
  </xdr:twoCellAnchor>
  <xdr:twoCellAnchor>
    <xdr:from>
      <xdr:col>7</xdr:col>
      <xdr:colOff>224646</xdr:colOff>
      <xdr:row>45</xdr:row>
      <xdr:rowOff>188702</xdr:rowOff>
    </xdr:from>
    <xdr:to>
      <xdr:col>15</xdr:col>
      <xdr:colOff>0</xdr:colOff>
      <xdr:row>61</xdr:row>
      <xdr:rowOff>0</xdr:rowOff>
    </xdr:to>
    <xdr:graphicFrame macro="">
      <xdr:nvGraphicFramePr>
        <xdr:cNvPr id="28" name="Chart 27" title="Bar chart of the amount per pupil by function for all funds">
          <a:extLst>
            <a:ext uri="{FF2B5EF4-FFF2-40B4-BE49-F238E27FC236}">
              <a16:creationId xmlns:a16="http://schemas.microsoft.com/office/drawing/2014/main" id="{00000000-0008-0000-0200-00001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fLocksWithSheet="0"/>
  </xdr:twoCellAnchor>
  <xdr:twoCellAnchor>
    <xdr:from>
      <xdr:col>7</xdr:col>
      <xdr:colOff>224646</xdr:colOff>
      <xdr:row>31</xdr:row>
      <xdr:rowOff>8985</xdr:rowOff>
    </xdr:from>
    <xdr:to>
      <xdr:col>15</xdr:col>
      <xdr:colOff>0</xdr:colOff>
      <xdr:row>46</xdr:row>
      <xdr:rowOff>0</xdr:rowOff>
    </xdr:to>
    <xdr:graphicFrame macro="">
      <xdr:nvGraphicFramePr>
        <xdr:cNvPr id="14" name="Chart 13" title="Bar chart of average salaries by category and year">
          <a:extLst>
            <a:ext uri="{FF2B5EF4-FFF2-40B4-BE49-F238E27FC236}">
              <a16:creationId xmlns:a16="http://schemas.microsoft.com/office/drawing/2014/main" id="{00000000-0008-0000-02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fLocksWithSheet="0"/>
  </xdr:twoCellAnchor>
  <xdr:twoCellAnchor>
    <xdr:from>
      <xdr:col>0</xdr:col>
      <xdr:colOff>0</xdr:colOff>
      <xdr:row>1</xdr:row>
      <xdr:rowOff>8985</xdr:rowOff>
    </xdr:from>
    <xdr:to>
      <xdr:col>7</xdr:col>
      <xdr:colOff>224646</xdr:colOff>
      <xdr:row>16</xdr:row>
      <xdr:rowOff>8986</xdr:rowOff>
    </xdr:to>
    <xdr:graphicFrame macro="">
      <xdr:nvGraphicFramePr>
        <xdr:cNvPr id="2" name="Chart 2">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fLocksWithSheet="0"/>
  </xdr:twoCellAnchor>
  <xdr:twoCellAnchor>
    <xdr:from>
      <xdr:col>7</xdr:col>
      <xdr:colOff>224646</xdr:colOff>
      <xdr:row>1</xdr:row>
      <xdr:rowOff>8985</xdr:rowOff>
    </xdr:from>
    <xdr:to>
      <xdr:col>15</xdr:col>
      <xdr:colOff>0</xdr:colOff>
      <xdr:row>16</xdr:row>
      <xdr:rowOff>8986</xdr:rowOff>
    </xdr:to>
    <xdr:graphicFrame macro="">
      <xdr:nvGraphicFramePr>
        <xdr:cNvPr id="3" name="Chart 5">
          <a:extLst>
            <a:ext uri="{FF2B5EF4-FFF2-40B4-BE49-F238E27FC236}">
              <a16:creationId xmlns:a16="http://schemas.microsoft.com/office/drawing/2014/main" id="{00000000-0008-0000-02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fLocksWithSheet="0"/>
  </xdr:twoCellAnchor>
  <xdr:twoCellAnchor>
    <xdr:from>
      <xdr:col>0</xdr:col>
      <xdr:colOff>0</xdr:colOff>
      <xdr:row>31</xdr:row>
      <xdr:rowOff>8986</xdr:rowOff>
    </xdr:from>
    <xdr:to>
      <xdr:col>7</xdr:col>
      <xdr:colOff>224646</xdr:colOff>
      <xdr:row>46</xdr:row>
      <xdr:rowOff>0</xdr:rowOff>
    </xdr:to>
    <xdr:graphicFrame macro="">
      <xdr:nvGraphicFramePr>
        <xdr:cNvPr id="4" name="Chart 6">
          <a:extLst>
            <a:ext uri="{FF2B5EF4-FFF2-40B4-BE49-F238E27FC236}">
              <a16:creationId xmlns:a16="http://schemas.microsoft.com/office/drawing/2014/main" id="{00000000-0008-0000-02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fLocksWithSheet="0"/>
  </xdr:twoCellAnchor>
  <xdr:oneCellAnchor>
    <xdr:from>
      <xdr:col>7</xdr:col>
      <xdr:colOff>35944</xdr:colOff>
      <xdr:row>69</xdr:row>
      <xdr:rowOff>8986</xdr:rowOff>
    </xdr:from>
    <xdr:ext cx="184731" cy="264560"/>
    <xdr:sp macro="" textlink="">
      <xdr:nvSpPr>
        <xdr:cNvPr id="15" name="TextBox 14">
          <a:extLst>
            <a:ext uri="{FF2B5EF4-FFF2-40B4-BE49-F238E27FC236}">
              <a16:creationId xmlns:a16="http://schemas.microsoft.com/office/drawing/2014/main" id="{00000000-0008-0000-0200-00000F000000}"/>
            </a:ext>
          </a:extLst>
        </xdr:cNvPr>
        <xdr:cNvSpPr txBox="1"/>
      </xdr:nvSpPr>
      <xdr:spPr>
        <a:xfrm>
          <a:off x="4313208" y="1335297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23</xdr:row>
      <xdr:rowOff>10645</xdr:rowOff>
    </xdr:from>
    <xdr:to>
      <xdr:col>9</xdr:col>
      <xdr:colOff>354940</xdr:colOff>
      <xdr:row>28</xdr:row>
      <xdr:rowOff>22025</xdr:rowOff>
    </xdr:to>
    <xdr:pic>
      <xdr:nvPicPr>
        <xdr:cNvPr id="5" name="Picture 4">
          <a:extLst>
            <a:ext uri="{FF2B5EF4-FFF2-40B4-BE49-F238E27FC236}">
              <a16:creationId xmlns:a16="http://schemas.microsoft.com/office/drawing/2014/main" id="{C6927F9B-49C3-46DF-905C-45C0CD7A052B}"/>
            </a:ext>
            <a:ext uri="{C183D7F6-B498-43B3-948B-1728B52AA6E4}">
              <adec:decorative xmlns:adec="http://schemas.microsoft.com/office/drawing/2017/decorative" val="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5230345"/>
          <a:ext cx="9801835" cy="1922095"/>
        </a:xfrm>
        <a:prstGeom prst="rect">
          <a:avLst/>
        </a:prstGeom>
      </xdr:spPr>
    </xdr:pic>
    <xdr:clientData/>
  </xdr:twoCellAnchor>
  <xdr:twoCellAnchor editAs="oneCell">
    <xdr:from>
      <xdr:col>0</xdr:col>
      <xdr:colOff>133350</xdr:colOff>
      <xdr:row>37</xdr:row>
      <xdr:rowOff>1771650</xdr:rowOff>
    </xdr:from>
    <xdr:to>
      <xdr:col>1</xdr:col>
      <xdr:colOff>555385</xdr:colOff>
      <xdr:row>38</xdr:row>
      <xdr:rowOff>1426734</xdr:rowOff>
    </xdr:to>
    <xdr:pic>
      <xdr:nvPicPr>
        <xdr:cNvPr id="6" name="Picture 5" descr="Kansas State Department of Education logo">
          <a:extLst>
            <a:ext uri="{FF2B5EF4-FFF2-40B4-BE49-F238E27FC236}">
              <a16:creationId xmlns:a16="http://schemas.microsoft.com/office/drawing/2014/main" id="{66F29E3B-65D8-431B-A2D2-DCAC98A857F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3350" y="10868025"/>
          <a:ext cx="2509280" cy="1426215"/>
        </a:xfrm>
        <a:prstGeom prst="rect">
          <a:avLst/>
        </a:prstGeom>
      </xdr:spPr>
    </xdr:pic>
    <xdr:clientData/>
  </xdr:twoCellAnchor>
  <xdr:twoCellAnchor>
    <xdr:from>
      <xdr:col>0</xdr:col>
      <xdr:colOff>0</xdr:colOff>
      <xdr:row>121</xdr:row>
      <xdr:rowOff>28575</xdr:rowOff>
    </xdr:from>
    <xdr:to>
      <xdr:col>10</xdr:col>
      <xdr:colOff>451</xdr:colOff>
      <xdr:row>141</xdr:row>
      <xdr:rowOff>31330</xdr:rowOff>
    </xdr:to>
    <xdr:graphicFrame macro="">
      <xdr:nvGraphicFramePr>
        <xdr:cNvPr id="8" name="Chart 7" title="Bar chart of summary of total expenditures by function for all funds">
          <a:extLst>
            <a:ext uri="{FF2B5EF4-FFF2-40B4-BE49-F238E27FC236}">
              <a16:creationId xmlns:a16="http://schemas.microsoft.com/office/drawing/2014/main" id="{B0C9EFEB-5021-4F38-BB5F-7FB2A7976A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fLocksWithSheet="0"/>
  </xdr:twoCellAnchor>
  <xdr:twoCellAnchor>
    <xdr:from>
      <xdr:col>0</xdr:col>
      <xdr:colOff>0</xdr:colOff>
      <xdr:row>181</xdr:row>
      <xdr:rowOff>73601</xdr:rowOff>
    </xdr:from>
    <xdr:to>
      <xdr:col>10</xdr:col>
      <xdr:colOff>0</xdr:colOff>
      <xdr:row>197</xdr:row>
      <xdr:rowOff>130752</xdr:rowOff>
    </xdr:to>
    <xdr:graphicFrame macro="">
      <xdr:nvGraphicFramePr>
        <xdr:cNvPr id="7" name="Chart 6" title="Bar chart of the total expenditures by function for all funds">
          <a:extLst>
            <a:ext uri="{FF2B5EF4-FFF2-40B4-BE49-F238E27FC236}">
              <a16:creationId xmlns:a16="http://schemas.microsoft.com/office/drawing/2014/main" id="{D3FCFA22-FE88-4D2D-B74F-5DC696BFC79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fLocksWithSheet="0"/>
  </xdr:twoCellAnchor>
  <xdr:twoCellAnchor>
    <xdr:from>
      <xdr:col>0</xdr:col>
      <xdr:colOff>0</xdr:colOff>
      <xdr:row>243</xdr:row>
      <xdr:rowOff>82262</xdr:rowOff>
    </xdr:from>
    <xdr:to>
      <xdr:col>10</xdr:col>
      <xdr:colOff>6880</xdr:colOff>
      <xdr:row>262</xdr:row>
      <xdr:rowOff>13855</xdr:rowOff>
    </xdr:to>
    <xdr:graphicFrame macro="">
      <xdr:nvGraphicFramePr>
        <xdr:cNvPr id="9" name="Chart 8" title="Bar chart of the amount per pupil by function for all funds">
          <a:extLst>
            <a:ext uri="{FF2B5EF4-FFF2-40B4-BE49-F238E27FC236}">
              <a16:creationId xmlns:a16="http://schemas.microsoft.com/office/drawing/2014/main" id="{F4F52710-1678-488E-884C-2CEED4BBB99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fLocksWithSheet="0"/>
  </xdr:twoCellAnchor>
  <xdr:twoCellAnchor>
    <xdr:from>
      <xdr:col>0</xdr:col>
      <xdr:colOff>0</xdr:colOff>
      <xdr:row>305</xdr:row>
      <xdr:rowOff>141019</xdr:rowOff>
    </xdr:from>
    <xdr:to>
      <xdr:col>9</xdr:col>
      <xdr:colOff>637263</xdr:colOff>
      <xdr:row>325</xdr:row>
      <xdr:rowOff>113805</xdr:rowOff>
    </xdr:to>
    <xdr:graphicFrame macro="">
      <xdr:nvGraphicFramePr>
        <xdr:cNvPr id="10" name="Chart 9" title="Bar chart of the summary of general and supplemental general fund expenditures by function">
          <a:extLst>
            <a:ext uri="{FF2B5EF4-FFF2-40B4-BE49-F238E27FC236}">
              <a16:creationId xmlns:a16="http://schemas.microsoft.com/office/drawing/2014/main" id="{0F3C4ECD-0818-4E20-A815-21796DFE169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fLocksWithSheet="0"/>
  </xdr:twoCellAnchor>
  <xdr:twoCellAnchor>
    <xdr:from>
      <xdr:col>0</xdr:col>
      <xdr:colOff>1578428</xdr:colOff>
      <xdr:row>377</xdr:row>
      <xdr:rowOff>310491</xdr:rowOff>
    </xdr:from>
    <xdr:to>
      <xdr:col>6</xdr:col>
      <xdr:colOff>746193</xdr:colOff>
      <xdr:row>394</xdr:row>
      <xdr:rowOff>144731</xdr:rowOff>
    </xdr:to>
    <xdr:graphicFrame macro="">
      <xdr:nvGraphicFramePr>
        <xdr:cNvPr id="11" name="Chart 10" title="Bar chart of instruction expenditures">
          <a:extLst>
            <a:ext uri="{FF2B5EF4-FFF2-40B4-BE49-F238E27FC236}">
              <a16:creationId xmlns:a16="http://schemas.microsoft.com/office/drawing/2014/main" id="{349701F5-2E29-4B8C-9BF1-BAAD18C2FB9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fLocksWithSheet="0"/>
  </xdr:twoCellAnchor>
  <xdr:twoCellAnchor>
    <xdr:from>
      <xdr:col>0</xdr:col>
      <xdr:colOff>0</xdr:colOff>
      <xdr:row>476</xdr:row>
      <xdr:rowOff>155864</xdr:rowOff>
    </xdr:from>
    <xdr:to>
      <xdr:col>10</xdr:col>
      <xdr:colOff>0</xdr:colOff>
      <xdr:row>490</xdr:row>
      <xdr:rowOff>180591</xdr:rowOff>
    </xdr:to>
    <xdr:graphicFrame macro="">
      <xdr:nvGraphicFramePr>
        <xdr:cNvPr id="12" name="Chart 11" title="Bar chart of FTE enrollment for budget authority">
          <a:extLst>
            <a:ext uri="{FF2B5EF4-FFF2-40B4-BE49-F238E27FC236}">
              <a16:creationId xmlns:a16="http://schemas.microsoft.com/office/drawing/2014/main" id="{05C22DC9-FEAF-4917-A60F-50DA3701E68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fLocksWithSheet="0"/>
  </xdr:twoCellAnchor>
  <xdr:twoCellAnchor>
    <xdr:from>
      <xdr:col>0</xdr:col>
      <xdr:colOff>0</xdr:colOff>
      <xdr:row>500</xdr:row>
      <xdr:rowOff>173181</xdr:rowOff>
    </xdr:from>
    <xdr:to>
      <xdr:col>10</xdr:col>
      <xdr:colOff>0</xdr:colOff>
      <xdr:row>514</xdr:row>
      <xdr:rowOff>129818</xdr:rowOff>
    </xdr:to>
    <xdr:graphicFrame macro="">
      <xdr:nvGraphicFramePr>
        <xdr:cNvPr id="13" name="Chart 12" title="Low Income Students">
          <a:extLst>
            <a:ext uri="{FF2B5EF4-FFF2-40B4-BE49-F238E27FC236}">
              <a16:creationId xmlns:a16="http://schemas.microsoft.com/office/drawing/2014/main" id="{DBEF173E-FCCF-4D90-B16E-3F132BEBE2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fLocksWithSheet="0"/>
  </xdr:twoCellAnchor>
  <xdr:twoCellAnchor>
    <xdr:from>
      <xdr:col>0</xdr:col>
      <xdr:colOff>0</xdr:colOff>
      <xdr:row>561</xdr:row>
      <xdr:rowOff>157163</xdr:rowOff>
    </xdr:from>
    <xdr:to>
      <xdr:col>10</xdr:col>
      <xdr:colOff>0</xdr:colOff>
      <xdr:row>576</xdr:row>
      <xdr:rowOff>68798</xdr:rowOff>
    </xdr:to>
    <xdr:graphicFrame macro="">
      <xdr:nvGraphicFramePr>
        <xdr:cNvPr id="14" name="Chart 13" title="Bar chart of total U.S.D. mill rates">
          <a:extLst>
            <a:ext uri="{FF2B5EF4-FFF2-40B4-BE49-F238E27FC236}">
              <a16:creationId xmlns:a16="http://schemas.microsoft.com/office/drawing/2014/main" id="{5D711363-49FF-4F85-AE13-E63B297B81E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fLocksWithSheet="0"/>
  </xdr:twoCellAnchor>
  <xdr:twoCellAnchor>
    <xdr:from>
      <xdr:col>0</xdr:col>
      <xdr:colOff>0</xdr:colOff>
      <xdr:row>601</xdr:row>
      <xdr:rowOff>47626</xdr:rowOff>
    </xdr:from>
    <xdr:to>
      <xdr:col>10</xdr:col>
      <xdr:colOff>9525</xdr:colOff>
      <xdr:row>620</xdr:row>
      <xdr:rowOff>45434</xdr:rowOff>
    </xdr:to>
    <xdr:graphicFrame macro="">
      <xdr:nvGraphicFramePr>
        <xdr:cNvPr id="15" name="Chart 14" title="Bar chart of assessed valuation">
          <a:extLst>
            <a:ext uri="{FF2B5EF4-FFF2-40B4-BE49-F238E27FC236}">
              <a16:creationId xmlns:a16="http://schemas.microsoft.com/office/drawing/2014/main" id="{CD1EF884-3C96-477D-ACF0-F493A0B3D5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fLocksWithSheet="0"/>
  </xdr:twoCellAnchor>
  <xdr:twoCellAnchor>
    <xdr:from>
      <xdr:col>0</xdr:col>
      <xdr:colOff>0</xdr:colOff>
      <xdr:row>627</xdr:row>
      <xdr:rowOff>119063</xdr:rowOff>
    </xdr:from>
    <xdr:to>
      <xdr:col>10</xdr:col>
      <xdr:colOff>0</xdr:colOff>
      <xdr:row>646</xdr:row>
      <xdr:rowOff>111516</xdr:rowOff>
    </xdr:to>
    <xdr:graphicFrame macro="">
      <xdr:nvGraphicFramePr>
        <xdr:cNvPr id="16" name="Chart 15" title="Bar chart of bonded indebtedness">
          <a:extLst>
            <a:ext uri="{FF2B5EF4-FFF2-40B4-BE49-F238E27FC236}">
              <a16:creationId xmlns:a16="http://schemas.microsoft.com/office/drawing/2014/main" id="{8E8DDD40-7ECC-4879-9FDF-EB3CE594250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fLocksWithSheet="0"/>
  </xdr:twoCellAnchor>
  <xdr:twoCellAnchor>
    <xdr:from>
      <xdr:col>0</xdr:col>
      <xdr:colOff>0</xdr:colOff>
      <xdr:row>680</xdr:row>
      <xdr:rowOff>103909</xdr:rowOff>
    </xdr:from>
    <xdr:to>
      <xdr:col>10</xdr:col>
      <xdr:colOff>0</xdr:colOff>
      <xdr:row>700</xdr:row>
      <xdr:rowOff>33068</xdr:rowOff>
    </xdr:to>
    <xdr:graphicFrame macro="">
      <xdr:nvGraphicFramePr>
        <xdr:cNvPr id="17" name="Chart 16">
          <a:extLst>
            <a:ext uri="{FF2B5EF4-FFF2-40B4-BE49-F238E27FC236}">
              <a16:creationId xmlns:a16="http://schemas.microsoft.com/office/drawing/2014/main" id="{58CC22DE-2850-4CC0-93AA-C6C7572B67E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fLocksWithSheet="0"/>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17</xdr:row>
      <xdr:rowOff>171448</xdr:rowOff>
    </xdr:from>
    <xdr:to>
      <xdr:col>10</xdr:col>
      <xdr:colOff>466725</xdr:colOff>
      <xdr:row>39</xdr:row>
      <xdr:rowOff>190499</xdr:rowOff>
    </xdr:to>
    <xdr:graphicFrame macro="">
      <xdr:nvGraphicFramePr>
        <xdr:cNvPr id="3" name="Chart 2" title="Bar chart of the total expenditures by function for all funds">
          <a:extLst>
            <a:ext uri="{FF2B5EF4-FFF2-40B4-BE49-F238E27FC236}">
              <a16:creationId xmlns:a16="http://schemas.microsoft.com/office/drawing/2014/main" id="{00000000-0008-0000-05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xdr:from>
      <xdr:col>1</xdr:col>
      <xdr:colOff>0</xdr:colOff>
      <xdr:row>62</xdr:row>
      <xdr:rowOff>104776</xdr:rowOff>
    </xdr:from>
    <xdr:to>
      <xdr:col>10</xdr:col>
      <xdr:colOff>495299</xdr:colOff>
      <xdr:row>86</xdr:row>
      <xdr:rowOff>161925</xdr:rowOff>
    </xdr:to>
    <xdr:graphicFrame macro="">
      <xdr:nvGraphicFramePr>
        <xdr:cNvPr id="4" name="Chart 3" title="Bar chart of the amount per pupil by function for all funds">
          <a:extLst>
            <a:ext uri="{FF2B5EF4-FFF2-40B4-BE49-F238E27FC236}">
              <a16:creationId xmlns:a16="http://schemas.microsoft.com/office/drawing/2014/main" id="{00000000-0008-0000-05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twoCellAnchor>
  <xdr:twoCellAnchor>
    <xdr:from>
      <xdr:col>9</xdr:col>
      <xdr:colOff>523875</xdr:colOff>
      <xdr:row>0</xdr:row>
      <xdr:rowOff>142875</xdr:rowOff>
    </xdr:from>
    <xdr:to>
      <xdr:col>15</xdr:col>
      <xdr:colOff>85725</xdr:colOff>
      <xdr:row>5</xdr:row>
      <xdr:rowOff>85726</xdr:rowOff>
    </xdr:to>
    <xdr:sp macro="" textlink="">
      <xdr:nvSpPr>
        <xdr:cNvPr id="5" name="TextBox 4">
          <a:extLst>
            <a:ext uri="{FF2B5EF4-FFF2-40B4-BE49-F238E27FC236}">
              <a16:creationId xmlns:a16="http://schemas.microsoft.com/office/drawing/2014/main" id="{00000000-0008-0000-0500-000005000000}"/>
            </a:ext>
          </a:extLst>
        </xdr:cNvPr>
        <xdr:cNvSpPr txBox="1"/>
      </xdr:nvSpPr>
      <xdr:spPr>
        <a:xfrm>
          <a:off x="8391525" y="142875"/>
          <a:ext cx="4343400" cy="1000126"/>
        </a:xfrm>
        <a:prstGeom prst="rect">
          <a:avLst/>
        </a:prstGeom>
        <a:solidFill>
          <a:schemeClr val="accent5">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These charts</a:t>
          </a:r>
          <a:r>
            <a:rPr lang="en-US" sz="1100" baseline="0"/>
            <a:t> </a:t>
          </a:r>
          <a:r>
            <a:rPr lang="en-US" sz="1100" b="1" baseline="0"/>
            <a:t>include</a:t>
          </a:r>
          <a:r>
            <a:rPr lang="en-US" sz="1100" baseline="0"/>
            <a:t> Adult Education, Adult Supplemental Education and Special Education Coop in the total expenditures by function and amount per pupil by function.</a:t>
          </a:r>
        </a:p>
        <a:p>
          <a:endParaRPr lang="en-US" sz="1100" baseline="0"/>
        </a:p>
        <a:p>
          <a:r>
            <a:rPr lang="en-US" sz="1100" baseline="0"/>
            <a:t>These charts are included in the Budget at a Glance.</a:t>
          </a:r>
          <a:endParaRPr lang="en-US" sz="1100"/>
        </a:p>
      </xdr:txBody>
    </xdr:sp>
    <xdr:clientData/>
  </xdr:twoCellAnchor>
  <xdr:twoCellAnchor>
    <xdr:from>
      <xdr:col>1</xdr:col>
      <xdr:colOff>14286</xdr:colOff>
      <xdr:row>109</xdr:row>
      <xdr:rowOff>85723</xdr:rowOff>
    </xdr:from>
    <xdr:to>
      <xdr:col>11</xdr:col>
      <xdr:colOff>0</xdr:colOff>
      <xdr:row>131</xdr:row>
      <xdr:rowOff>47625</xdr:rowOff>
    </xdr:to>
    <xdr:graphicFrame macro="">
      <xdr:nvGraphicFramePr>
        <xdr:cNvPr id="2" name="Chart 1">
          <a:extLst>
            <a:ext uri="{FF2B5EF4-FFF2-40B4-BE49-F238E27FC236}">
              <a16:creationId xmlns:a16="http://schemas.microsoft.com/office/drawing/2014/main" id="{00000000-0008-0000-05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fLocksWithSheet="0"/>
  </xdr:twoCellAnchor>
</xdr:wsDr>
</file>

<file path=xl/drawings/drawing6.xml><?xml version="1.0" encoding="utf-8"?>
<xdr:wsDr xmlns:xdr="http://schemas.openxmlformats.org/drawingml/2006/spreadsheetDrawing" xmlns:a="http://schemas.openxmlformats.org/drawingml/2006/main">
  <xdr:twoCellAnchor>
    <xdr:from>
      <xdr:col>0</xdr:col>
      <xdr:colOff>514350</xdr:colOff>
      <xdr:row>20</xdr:row>
      <xdr:rowOff>171449</xdr:rowOff>
    </xdr:from>
    <xdr:to>
      <xdr:col>5</xdr:col>
      <xdr:colOff>400050</xdr:colOff>
      <xdr:row>39</xdr:row>
      <xdr:rowOff>104774</xdr:rowOff>
    </xdr:to>
    <xdr:graphicFrame macro="">
      <xdr:nvGraphicFramePr>
        <xdr:cNvPr id="4" name="Chart 3" title="Bar chart of the total expenditures by function for all funds">
          <a:extLst>
            <a:ext uri="{FF2B5EF4-FFF2-40B4-BE49-F238E27FC236}">
              <a16:creationId xmlns:a16="http://schemas.microsoft.com/office/drawing/2014/main" id="{00000000-0008-0000-06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495300</xdr:colOff>
      <xdr:row>66</xdr:row>
      <xdr:rowOff>19051</xdr:rowOff>
    </xdr:from>
    <xdr:to>
      <xdr:col>5</xdr:col>
      <xdr:colOff>400050</xdr:colOff>
      <xdr:row>84</xdr:row>
      <xdr:rowOff>104775</xdr:rowOff>
    </xdr:to>
    <xdr:graphicFrame macro="">
      <xdr:nvGraphicFramePr>
        <xdr:cNvPr id="5" name="Chart 4" title="Bar chart of the amount per pupil by function for all funds">
          <a:extLst>
            <a:ext uri="{FF2B5EF4-FFF2-40B4-BE49-F238E27FC236}">
              <a16:creationId xmlns:a16="http://schemas.microsoft.com/office/drawing/2014/main" id="{00000000-0008-0000-06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28575</xdr:colOff>
      <xdr:row>0</xdr:row>
      <xdr:rowOff>95250</xdr:rowOff>
    </xdr:from>
    <xdr:to>
      <xdr:col>12</xdr:col>
      <xdr:colOff>104775</xdr:colOff>
      <xdr:row>6</xdr:row>
      <xdr:rowOff>133350</xdr:rowOff>
    </xdr:to>
    <xdr:sp macro="" textlink="">
      <xdr:nvSpPr>
        <xdr:cNvPr id="6" name="TextBox 5">
          <a:extLst>
            <a:ext uri="{FF2B5EF4-FFF2-40B4-BE49-F238E27FC236}">
              <a16:creationId xmlns:a16="http://schemas.microsoft.com/office/drawing/2014/main" id="{00000000-0008-0000-0600-000006000000}"/>
            </a:ext>
          </a:extLst>
        </xdr:cNvPr>
        <xdr:cNvSpPr txBox="1"/>
      </xdr:nvSpPr>
      <xdr:spPr>
        <a:xfrm>
          <a:off x="6724650" y="95250"/>
          <a:ext cx="3124200" cy="1181100"/>
        </a:xfrm>
        <a:prstGeom prst="rect">
          <a:avLst/>
        </a:prstGeom>
        <a:solidFill>
          <a:schemeClr val="accent5">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Similar to the charts</a:t>
          </a:r>
          <a:r>
            <a:rPr lang="en-US" sz="1100" baseline="0"/>
            <a:t> on the Extra worksheet except it does </a:t>
          </a:r>
          <a:r>
            <a:rPr lang="en-US" sz="1100" u="sng" baseline="0"/>
            <a:t>not</a:t>
          </a:r>
          <a:r>
            <a:rPr lang="en-US" sz="1100" baseline="0"/>
            <a:t> include Adult Education, Adult Supplemental Education or Special Education Coop in the total expenditures by function and amount per pupil by function.</a:t>
          </a:r>
          <a:endParaRPr lang="en-US" sz="1100"/>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esser\Desktop\Bdgt2026\Bdgt2026\Codes.xlsx" TargetMode="External"/><Relationship Id="rId1" Type="http://schemas.openxmlformats.org/officeDocument/2006/relationships/externalLinkPath" Target="Cod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ntents"/>
      <sheetName val="OPEN"/>
      <sheetName val="F110"/>
      <sheetName val="F118"/>
      <sheetName val="F148"/>
      <sheetName val="F150"/>
      <sheetName val="HD-AR_BLDG"/>
      <sheetName val="F155"/>
      <sheetName val="F162"/>
      <sheetName val="F194"/>
      <sheetName val="F195"/>
      <sheetName val="F196"/>
      <sheetName val="F239"/>
      <sheetName val="F242"/>
      <sheetName val="F242A"/>
      <sheetName val="C01"/>
      <sheetName val="C02"/>
      <sheetName val="C04"/>
      <sheetName val="C05"/>
      <sheetName val="C05a"/>
      <sheetName val="C06"/>
      <sheetName val="C07"/>
      <sheetName val="C08"/>
      <sheetName val="C010"/>
      <sheetName val="C011"/>
      <sheetName val="C012"/>
      <sheetName val="C013"/>
      <sheetName val="C014"/>
      <sheetName val="C015"/>
      <sheetName val="C016"/>
      <sheetName val="C018"/>
      <sheetName val="C019"/>
      <sheetName val="C022"/>
      <sheetName val="C024"/>
      <sheetName val="C026"/>
      <sheetName val="C028"/>
      <sheetName val="C029"/>
      <sheetName val="C030"/>
      <sheetName val="C033"/>
      <sheetName val="C034"/>
      <sheetName val="C035"/>
      <sheetName val="C042"/>
      <sheetName val="C044"/>
      <sheetName val="C045"/>
      <sheetName val="C047"/>
      <sheetName val="C051"/>
      <sheetName val="C053"/>
      <sheetName val="C055"/>
      <sheetName val="C056"/>
      <sheetName val="C062"/>
      <sheetName val="C063"/>
      <sheetName val="C066"/>
      <sheetName val="C067"/>
      <sheetName val="C068"/>
      <sheetName val="C078"/>
      <sheetName val="C080"/>
      <sheetName val="C082"/>
      <sheetName val="C083"/>
      <sheetName val="C084"/>
      <sheetName val="C086"/>
      <sheetName val="CO99"/>
      <sheetName val="RevenueNeutral"/>
      <sheetName val="CashBalances"/>
      <sheetName val="Certify"/>
      <sheetName val="AMEND"/>
      <sheetName val="Salaries"/>
      <sheetName val="AveSalary"/>
      <sheetName val="Bdgt Checks"/>
      <sheetName val="Required Transfers"/>
      <sheetName val="OpenData"/>
      <sheetName val="DATA1"/>
      <sheetName val="DATA2"/>
      <sheetName val="Edits1"/>
      <sheetName val="Edits2"/>
      <sheetName val="Edits3"/>
    </sheetNames>
    <sheetDataSet>
      <sheetData sheetId="0"/>
      <sheetData sheetId="1">
        <row r="3">
          <cell r="B3" t="str">
            <v>Fowler</v>
          </cell>
        </row>
        <row r="4">
          <cell r="B4">
            <v>225</v>
          </cell>
        </row>
        <row r="9">
          <cell r="A9">
            <v>18536236</v>
          </cell>
        </row>
        <row r="12">
          <cell r="A12">
            <v>17978257</v>
          </cell>
        </row>
        <row r="15">
          <cell r="A15">
            <v>19995239</v>
          </cell>
        </row>
        <row r="47">
          <cell r="A47">
            <v>67</v>
          </cell>
        </row>
        <row r="49">
          <cell r="A49">
            <v>3</v>
          </cell>
        </row>
        <row r="50">
          <cell r="A50">
            <v>35</v>
          </cell>
        </row>
        <row r="72">
          <cell r="A72">
            <v>0</v>
          </cell>
        </row>
        <row r="73">
          <cell r="A73">
            <v>0</v>
          </cell>
        </row>
        <row r="148">
          <cell r="A148">
            <v>99</v>
          </cell>
        </row>
        <row r="149">
          <cell r="A149">
            <v>67.5</v>
          </cell>
        </row>
        <row r="150">
          <cell r="A150">
            <v>70.7</v>
          </cell>
        </row>
        <row r="151">
          <cell r="A151">
            <v>82.5</v>
          </cell>
        </row>
        <row r="152">
          <cell r="A152">
            <v>70</v>
          </cell>
        </row>
        <row r="158">
          <cell r="A158">
            <v>10</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8">
          <cell r="C8">
            <v>0</v>
          </cell>
          <cell r="D8">
            <v>0</v>
          </cell>
          <cell r="E8">
            <v>0</v>
          </cell>
        </row>
        <row r="25">
          <cell r="C25">
            <v>1106292</v>
          </cell>
          <cell r="D25">
            <v>1081353</v>
          </cell>
          <cell r="E25">
            <v>1157068</v>
          </cell>
        </row>
        <row r="26">
          <cell r="C26">
            <v>729</v>
          </cell>
          <cell r="D26">
            <v>757</v>
          </cell>
          <cell r="E26">
            <v>700</v>
          </cell>
        </row>
        <row r="27">
          <cell r="C27">
            <v>94889</v>
          </cell>
          <cell r="D27">
            <v>59283</v>
          </cell>
          <cell r="E27">
            <v>71356</v>
          </cell>
        </row>
        <row r="48">
          <cell r="C48">
            <v>210316</v>
          </cell>
          <cell r="D48">
            <v>161771</v>
          </cell>
          <cell r="E48">
            <v>231950</v>
          </cell>
        </row>
        <row r="49">
          <cell r="C49">
            <v>0</v>
          </cell>
          <cell r="D49">
            <v>73520</v>
          </cell>
          <cell r="E49">
            <v>79418</v>
          </cell>
        </row>
        <row r="51">
          <cell r="C51">
            <v>26886</v>
          </cell>
          <cell r="D51">
            <v>30099</v>
          </cell>
          <cell r="E51">
            <v>35000</v>
          </cell>
        </row>
        <row r="52">
          <cell r="C52">
            <v>17216</v>
          </cell>
          <cell r="D52">
            <v>17496</v>
          </cell>
          <cell r="E52">
            <v>20000</v>
          </cell>
        </row>
        <row r="53">
          <cell r="C53">
            <v>64051</v>
          </cell>
          <cell r="D53">
            <v>5204</v>
          </cell>
          <cell r="E53">
            <v>6000</v>
          </cell>
        </row>
        <row r="54">
          <cell r="C54">
            <v>31074</v>
          </cell>
          <cell r="D54">
            <v>6433</v>
          </cell>
          <cell r="E54">
            <v>1808</v>
          </cell>
        </row>
        <row r="55">
          <cell r="C55">
            <v>2012</v>
          </cell>
          <cell r="D55">
            <v>0</v>
          </cell>
          <cell r="E55">
            <v>47</v>
          </cell>
        </row>
        <row r="58">
          <cell r="C58">
            <v>98198</v>
          </cell>
          <cell r="D58">
            <v>215120</v>
          </cell>
          <cell r="E58">
            <v>200000</v>
          </cell>
        </row>
        <row r="61">
          <cell r="D61">
            <v>171</v>
          </cell>
        </row>
        <row r="65">
          <cell r="C65">
            <v>341</v>
          </cell>
          <cell r="E65">
            <v>500</v>
          </cell>
        </row>
        <row r="77">
          <cell r="D77">
            <v>267</v>
          </cell>
        </row>
        <row r="103">
          <cell r="C103">
            <v>39160</v>
          </cell>
          <cell r="D103">
            <v>6050</v>
          </cell>
          <cell r="E103">
            <v>45000</v>
          </cell>
        </row>
        <row r="104">
          <cell r="C104">
            <v>32308</v>
          </cell>
          <cell r="D104">
            <v>44016</v>
          </cell>
          <cell r="E104">
            <v>50000</v>
          </cell>
        </row>
        <row r="106">
          <cell r="C106">
            <v>4518</v>
          </cell>
          <cell r="D106">
            <v>2072</v>
          </cell>
          <cell r="E106">
            <v>10000</v>
          </cell>
        </row>
        <row r="107">
          <cell r="C107">
            <v>5441</v>
          </cell>
          <cell r="D107">
            <v>3792</v>
          </cell>
          <cell r="E107">
            <v>7000</v>
          </cell>
        </row>
        <row r="108">
          <cell r="C108">
            <v>153</v>
          </cell>
          <cell r="D108">
            <v>363</v>
          </cell>
          <cell r="E108">
            <v>500</v>
          </cell>
        </row>
        <row r="109">
          <cell r="C109">
            <v>5642</v>
          </cell>
          <cell r="D109">
            <v>958</v>
          </cell>
          <cell r="E109">
            <v>0</v>
          </cell>
        </row>
        <row r="113">
          <cell r="C113">
            <v>106</v>
          </cell>
        </row>
        <row r="114">
          <cell r="C114">
            <v>309</v>
          </cell>
          <cell r="D114">
            <v>1342</v>
          </cell>
          <cell r="E114">
            <v>2000</v>
          </cell>
        </row>
        <row r="120">
          <cell r="C120">
            <v>80600</v>
          </cell>
          <cell r="D120">
            <v>89110</v>
          </cell>
          <cell r="E120">
            <v>95000</v>
          </cell>
        </row>
        <row r="121">
          <cell r="C121">
            <v>5508</v>
          </cell>
          <cell r="D121">
            <v>12851</v>
          </cell>
          <cell r="E121">
            <v>0</v>
          </cell>
        </row>
        <row r="123">
          <cell r="C123">
            <v>5645</v>
          </cell>
          <cell r="D123">
            <v>7640</v>
          </cell>
          <cell r="E123">
            <v>8000</v>
          </cell>
        </row>
        <row r="124">
          <cell r="C124">
            <v>5574</v>
          </cell>
          <cell r="D124">
            <v>6905</v>
          </cell>
        </row>
        <row r="125">
          <cell r="C125">
            <v>2552</v>
          </cell>
          <cell r="D125">
            <v>982</v>
          </cell>
          <cell r="E125">
            <v>1200</v>
          </cell>
        </row>
        <row r="126">
          <cell r="D126">
            <v>30</v>
          </cell>
        </row>
        <row r="130">
          <cell r="C130">
            <v>75</v>
          </cell>
        </row>
        <row r="147">
          <cell r="D147">
            <v>54</v>
          </cell>
        </row>
        <row r="150">
          <cell r="C150">
            <v>3941</v>
          </cell>
          <cell r="D150">
            <v>2921</v>
          </cell>
          <cell r="E150">
            <v>15000</v>
          </cell>
        </row>
        <row r="152">
          <cell r="C152">
            <v>132</v>
          </cell>
          <cell r="D152">
            <v>47</v>
          </cell>
          <cell r="E152">
            <v>100</v>
          </cell>
        </row>
        <row r="153">
          <cell r="C153">
            <v>299</v>
          </cell>
          <cell r="D153">
            <v>223</v>
          </cell>
          <cell r="E153">
            <v>500</v>
          </cell>
        </row>
        <row r="154">
          <cell r="C154">
            <v>4</v>
          </cell>
          <cell r="D154">
            <v>2540</v>
          </cell>
          <cell r="E154">
            <v>3500</v>
          </cell>
        </row>
        <row r="159">
          <cell r="C159">
            <v>3131</v>
          </cell>
        </row>
        <row r="167">
          <cell r="C167">
            <v>942</v>
          </cell>
        </row>
        <row r="169">
          <cell r="C169">
            <v>103</v>
          </cell>
          <cell r="E169">
            <v>40000</v>
          </cell>
        </row>
        <row r="170">
          <cell r="E170">
            <v>55000</v>
          </cell>
        </row>
        <row r="209">
          <cell r="C209">
            <v>12462</v>
          </cell>
          <cell r="D209">
            <v>6797</v>
          </cell>
          <cell r="E209">
            <v>13000</v>
          </cell>
        </row>
        <row r="211">
          <cell r="C211">
            <v>895</v>
          </cell>
          <cell r="D211">
            <v>122</v>
          </cell>
          <cell r="E211">
            <v>1000</v>
          </cell>
        </row>
        <row r="212">
          <cell r="C212">
            <v>937</v>
          </cell>
          <cell r="D212">
            <v>514</v>
          </cell>
          <cell r="E212">
            <v>1000</v>
          </cell>
        </row>
        <row r="213">
          <cell r="C213">
            <v>71</v>
          </cell>
          <cell r="D213">
            <v>18</v>
          </cell>
          <cell r="E213">
            <v>500</v>
          </cell>
        </row>
        <row r="224">
          <cell r="E224">
            <v>10000</v>
          </cell>
        </row>
        <row r="228">
          <cell r="D228">
            <v>352</v>
          </cell>
        </row>
        <row r="234">
          <cell r="C234">
            <v>316</v>
          </cell>
        </row>
        <row r="261">
          <cell r="C261">
            <v>7174</v>
          </cell>
          <cell r="D261">
            <v>219</v>
          </cell>
        </row>
        <row r="267">
          <cell r="C267">
            <v>5000</v>
          </cell>
          <cell r="D267">
            <v>2945</v>
          </cell>
          <cell r="E267">
            <v>2945</v>
          </cell>
        </row>
        <row r="272">
          <cell r="C272">
            <v>50000</v>
          </cell>
          <cell r="D272">
            <v>98016</v>
          </cell>
          <cell r="E272">
            <v>90000</v>
          </cell>
        </row>
        <row r="276">
          <cell r="C276">
            <v>125000</v>
          </cell>
          <cell r="D276">
            <v>159283</v>
          </cell>
          <cell r="E276">
            <v>75000</v>
          </cell>
        </row>
        <row r="280">
          <cell r="C280">
            <v>241040</v>
          </cell>
          <cell r="D280">
            <v>52994</v>
          </cell>
        </row>
        <row r="282">
          <cell r="C282">
            <v>10000</v>
          </cell>
          <cell r="D282">
            <v>5000</v>
          </cell>
          <cell r="E282">
            <v>5000</v>
          </cell>
        </row>
        <row r="283">
          <cell r="C283">
            <v>102778</v>
          </cell>
          <cell r="D283">
            <v>123156</v>
          </cell>
          <cell r="E283">
            <v>123156</v>
          </cell>
        </row>
      </sheetData>
      <sheetData sheetId="21">
        <row r="9">
          <cell r="C9">
            <v>3109</v>
          </cell>
          <cell r="D9">
            <v>19273</v>
          </cell>
          <cell r="E9">
            <v>25769</v>
          </cell>
        </row>
        <row r="14">
          <cell r="C14">
            <v>22790</v>
          </cell>
          <cell r="D14">
            <v>20622</v>
          </cell>
          <cell r="E14">
            <v>20488</v>
          </cell>
        </row>
        <row r="15">
          <cell r="C15">
            <v>4444</v>
          </cell>
          <cell r="D15">
            <v>4468</v>
          </cell>
          <cell r="E15">
            <v>5484</v>
          </cell>
        </row>
        <row r="16">
          <cell r="C16">
            <v>11215</v>
          </cell>
          <cell r="D16">
            <v>11129</v>
          </cell>
          <cell r="E16">
            <v>11059</v>
          </cell>
        </row>
        <row r="21">
          <cell r="C21">
            <v>91851</v>
          </cell>
          <cell r="D21">
            <v>32626</v>
          </cell>
          <cell r="E21">
            <v>0</v>
          </cell>
        </row>
        <row r="25">
          <cell r="E25">
            <v>0</v>
          </cell>
        </row>
        <row r="42">
          <cell r="C42">
            <v>27662</v>
          </cell>
          <cell r="D42">
            <v>40704</v>
          </cell>
          <cell r="E42">
            <v>45800</v>
          </cell>
        </row>
        <row r="43">
          <cell r="C43">
            <v>70642</v>
          </cell>
          <cell r="D43">
            <v>300</v>
          </cell>
        </row>
        <row r="45">
          <cell r="C45">
            <v>2660</v>
          </cell>
          <cell r="D45">
            <v>1967</v>
          </cell>
        </row>
        <row r="46">
          <cell r="C46">
            <v>4627</v>
          </cell>
          <cell r="D46">
            <v>3099</v>
          </cell>
        </row>
        <row r="47">
          <cell r="C47">
            <v>547</v>
          </cell>
          <cell r="D47">
            <v>269</v>
          </cell>
        </row>
        <row r="48">
          <cell r="C48">
            <v>0</v>
          </cell>
        </row>
        <row r="57">
          <cell r="D57">
            <v>14708</v>
          </cell>
          <cell r="E57">
            <v>17000</v>
          </cell>
        </row>
        <row r="97">
          <cell r="C97">
            <v>500</v>
          </cell>
        </row>
        <row r="98">
          <cell r="C98">
            <v>1667</v>
          </cell>
          <cell r="D98">
            <v>1100</v>
          </cell>
        </row>
        <row r="100">
          <cell r="C100">
            <v>777</v>
          </cell>
          <cell r="D100">
            <v>108</v>
          </cell>
        </row>
        <row r="101">
          <cell r="C101">
            <v>164</v>
          </cell>
          <cell r="D101">
            <v>83</v>
          </cell>
        </row>
        <row r="102">
          <cell r="C102">
            <v>7</v>
          </cell>
          <cell r="D102">
            <v>1</v>
          </cell>
        </row>
        <row r="114">
          <cell r="C114">
            <v>1825</v>
          </cell>
        </row>
        <row r="117">
          <cell r="C117">
            <v>122</v>
          </cell>
        </row>
        <row r="118">
          <cell r="C118">
            <v>121</v>
          </cell>
        </row>
        <row r="119">
          <cell r="C119">
            <v>16</v>
          </cell>
        </row>
        <row r="144">
          <cell r="C144">
            <v>1500</v>
          </cell>
        </row>
        <row r="146">
          <cell r="C146">
            <v>1</v>
          </cell>
        </row>
        <row r="147">
          <cell r="C147">
            <v>115</v>
          </cell>
        </row>
        <row r="148">
          <cell r="C148">
            <v>1</v>
          </cell>
        </row>
        <row r="163">
          <cell r="D163">
            <v>10</v>
          </cell>
        </row>
        <row r="204">
          <cell r="C204">
            <v>1000</v>
          </cell>
        </row>
        <row r="206">
          <cell r="C206">
            <v>106</v>
          </cell>
        </row>
        <row r="207">
          <cell r="C207">
            <v>75</v>
          </cell>
        </row>
        <row r="208">
          <cell r="C208">
            <v>1</v>
          </cell>
        </row>
      </sheetData>
      <sheetData sheetId="22">
        <row r="9">
          <cell r="C9">
            <v>71402</v>
          </cell>
          <cell r="D9">
            <v>30140</v>
          </cell>
          <cell r="E9">
            <v>0</v>
          </cell>
        </row>
        <row r="15">
          <cell r="C15">
            <v>5998</v>
          </cell>
        </row>
        <row r="16">
          <cell r="C16">
            <v>353845</v>
          </cell>
          <cell r="D16">
            <v>12731</v>
          </cell>
        </row>
        <row r="17">
          <cell r="D17">
            <v>318308</v>
          </cell>
          <cell r="E17">
            <v>3811</v>
          </cell>
        </row>
        <row r="18">
          <cell r="C18">
            <v>726</v>
          </cell>
          <cell r="D18">
            <v>2198</v>
          </cell>
          <cell r="E18">
            <v>3289</v>
          </cell>
        </row>
        <row r="23">
          <cell r="C23">
            <v>17743</v>
          </cell>
          <cell r="D23">
            <v>17533</v>
          </cell>
          <cell r="E23">
            <v>20068</v>
          </cell>
        </row>
        <row r="24">
          <cell r="C24">
            <v>1904</v>
          </cell>
          <cell r="D24">
            <v>326</v>
          </cell>
          <cell r="E24">
            <v>584</v>
          </cell>
        </row>
        <row r="25">
          <cell r="C25">
            <v>477</v>
          </cell>
          <cell r="D25">
            <v>207</v>
          </cell>
          <cell r="E25">
            <v>488</v>
          </cell>
        </row>
        <row r="26">
          <cell r="E26">
            <v>0</v>
          </cell>
        </row>
        <row r="28">
          <cell r="C28">
            <v>0</v>
          </cell>
          <cell r="D28">
            <v>0</v>
          </cell>
          <cell r="E28">
            <v>0</v>
          </cell>
        </row>
        <row r="30">
          <cell r="C30">
            <v>0</v>
          </cell>
          <cell r="D30">
            <v>0</v>
          </cell>
          <cell r="E30">
            <v>0</v>
          </cell>
        </row>
        <row r="33">
          <cell r="E33">
            <v>409497</v>
          </cell>
        </row>
        <row r="53">
          <cell r="C53">
            <v>8094</v>
          </cell>
        </row>
        <row r="54">
          <cell r="C54">
            <v>18864</v>
          </cell>
        </row>
        <row r="56">
          <cell r="C56">
            <v>685</v>
          </cell>
          <cell r="D56">
            <v>0</v>
          </cell>
          <cell r="E56">
            <v>50</v>
          </cell>
        </row>
        <row r="57">
          <cell r="C57">
            <v>574</v>
          </cell>
          <cell r="D57">
            <v>0</v>
          </cell>
          <cell r="E57">
            <v>50</v>
          </cell>
        </row>
        <row r="58">
          <cell r="C58">
            <v>118</v>
          </cell>
          <cell r="D58">
            <v>0</v>
          </cell>
          <cell r="E58">
            <v>1000</v>
          </cell>
        </row>
        <row r="59">
          <cell r="C59">
            <v>19667</v>
          </cell>
          <cell r="E59">
            <v>10000</v>
          </cell>
        </row>
        <row r="60">
          <cell r="C60">
            <v>1716</v>
          </cell>
          <cell r="D60">
            <v>0</v>
          </cell>
          <cell r="E60">
            <v>283</v>
          </cell>
        </row>
        <row r="63">
          <cell r="C63">
            <v>0</v>
          </cell>
          <cell r="D63">
            <v>0</v>
          </cell>
          <cell r="E63">
            <v>0</v>
          </cell>
        </row>
        <row r="66">
          <cell r="C66">
            <v>1935</v>
          </cell>
          <cell r="E66">
            <v>500</v>
          </cell>
        </row>
        <row r="68">
          <cell r="C68">
            <v>10375</v>
          </cell>
          <cell r="E68">
            <v>2000</v>
          </cell>
        </row>
        <row r="70">
          <cell r="C70">
            <v>1276</v>
          </cell>
        </row>
        <row r="71">
          <cell r="C71">
            <v>148</v>
          </cell>
        </row>
        <row r="72">
          <cell r="C72">
            <v>566</v>
          </cell>
        </row>
        <row r="73">
          <cell r="C73">
            <v>2528</v>
          </cell>
        </row>
        <row r="82">
          <cell r="C82">
            <v>2063</v>
          </cell>
        </row>
        <row r="102">
          <cell r="D102">
            <v>195</v>
          </cell>
          <cell r="E102">
            <v>100</v>
          </cell>
        </row>
        <row r="114">
          <cell r="C114">
            <v>18640</v>
          </cell>
          <cell r="D114">
            <v>26076</v>
          </cell>
          <cell r="E114">
            <v>5000</v>
          </cell>
        </row>
        <row r="118">
          <cell r="C118">
            <v>1616</v>
          </cell>
          <cell r="D118">
            <v>1533</v>
          </cell>
          <cell r="E118">
            <v>1600</v>
          </cell>
        </row>
        <row r="119">
          <cell r="C119">
            <v>6515</v>
          </cell>
          <cell r="D119">
            <v>23104</v>
          </cell>
          <cell r="E119">
            <v>15000</v>
          </cell>
        </row>
        <row r="122">
          <cell r="C122">
            <v>6920</v>
          </cell>
        </row>
        <row r="131">
          <cell r="C131">
            <v>8737</v>
          </cell>
          <cell r="D131">
            <v>13734</v>
          </cell>
          <cell r="E131">
            <v>9000</v>
          </cell>
        </row>
        <row r="134">
          <cell r="D134">
            <v>497</v>
          </cell>
          <cell r="E134">
            <v>400</v>
          </cell>
        </row>
        <row r="135">
          <cell r="D135">
            <v>150</v>
          </cell>
          <cell r="E135">
            <v>150</v>
          </cell>
        </row>
        <row r="160">
          <cell r="C160">
            <v>3304</v>
          </cell>
          <cell r="D160">
            <v>9905</v>
          </cell>
        </row>
        <row r="162">
          <cell r="C162">
            <v>7704</v>
          </cell>
          <cell r="D162">
            <v>8695</v>
          </cell>
          <cell r="E162">
            <v>8700</v>
          </cell>
        </row>
        <row r="164">
          <cell r="C164">
            <v>18117</v>
          </cell>
          <cell r="D164">
            <v>27554</v>
          </cell>
          <cell r="E164">
            <v>26042</v>
          </cell>
        </row>
        <row r="169">
          <cell r="C169">
            <v>126833</v>
          </cell>
          <cell r="D169">
            <v>55538</v>
          </cell>
          <cell r="E169">
            <v>140000</v>
          </cell>
        </row>
        <row r="172">
          <cell r="C172">
            <v>4595</v>
          </cell>
          <cell r="D172">
            <v>4900</v>
          </cell>
          <cell r="E172">
            <v>3000</v>
          </cell>
        </row>
        <row r="174">
          <cell r="C174">
            <v>33350</v>
          </cell>
          <cell r="D174">
            <v>29807</v>
          </cell>
          <cell r="E174">
            <v>29800</v>
          </cell>
        </row>
        <row r="175">
          <cell r="C175">
            <v>47397</v>
          </cell>
          <cell r="D175">
            <v>56802</v>
          </cell>
          <cell r="E175">
            <v>56800</v>
          </cell>
        </row>
        <row r="176">
          <cell r="D176">
            <v>223</v>
          </cell>
        </row>
        <row r="214">
          <cell r="D214">
            <v>7500</v>
          </cell>
          <cell r="E214">
            <v>6500</v>
          </cell>
        </row>
        <row r="217">
          <cell r="D217">
            <v>574</v>
          </cell>
          <cell r="E217">
            <v>500</v>
          </cell>
        </row>
        <row r="218">
          <cell r="D218">
            <v>265</v>
          </cell>
          <cell r="E218">
            <v>250</v>
          </cell>
        </row>
        <row r="223">
          <cell r="C223">
            <v>14093</v>
          </cell>
          <cell r="D223">
            <v>15000</v>
          </cell>
          <cell r="E223">
            <v>15000</v>
          </cell>
        </row>
        <row r="224">
          <cell r="C224">
            <v>16505</v>
          </cell>
          <cell r="D224">
            <v>14580</v>
          </cell>
          <cell r="E224">
            <v>14000</v>
          </cell>
        </row>
        <row r="226">
          <cell r="C226">
            <v>602</v>
          </cell>
          <cell r="D226">
            <v>733</v>
          </cell>
          <cell r="E226">
            <v>699</v>
          </cell>
        </row>
        <row r="229">
          <cell r="D229">
            <v>4942</v>
          </cell>
          <cell r="E229">
            <v>4900</v>
          </cell>
        </row>
        <row r="231">
          <cell r="D231">
            <v>289</v>
          </cell>
          <cell r="E231">
            <v>250</v>
          </cell>
        </row>
        <row r="236">
          <cell r="D236">
            <v>4317</v>
          </cell>
          <cell r="E236">
            <v>2000</v>
          </cell>
        </row>
        <row r="249">
          <cell r="C249">
            <v>5474</v>
          </cell>
        </row>
        <row r="250">
          <cell r="C250">
            <v>950</v>
          </cell>
        </row>
        <row r="273">
          <cell r="C273">
            <v>1768</v>
          </cell>
          <cell r="D273">
            <v>2100</v>
          </cell>
          <cell r="E273">
            <v>3020</v>
          </cell>
        </row>
        <row r="277">
          <cell r="D277">
            <v>1000</v>
          </cell>
          <cell r="E277">
            <v>0</v>
          </cell>
        </row>
        <row r="278">
          <cell r="D278">
            <v>1983</v>
          </cell>
          <cell r="E278">
            <v>0</v>
          </cell>
        </row>
        <row r="281">
          <cell r="D281">
            <v>33751</v>
          </cell>
          <cell r="E281">
            <v>46868</v>
          </cell>
        </row>
        <row r="287">
          <cell r="C287">
            <v>30226</v>
          </cell>
          <cell r="D287">
            <v>35696</v>
          </cell>
          <cell r="E287">
            <v>34275</v>
          </cell>
        </row>
      </sheetData>
      <sheetData sheetId="23">
        <row r="9">
          <cell r="C9">
            <v>0</v>
          </cell>
          <cell r="D9">
            <v>0</v>
          </cell>
          <cell r="E9">
            <v>0</v>
          </cell>
        </row>
        <row r="17">
          <cell r="D17">
            <v>0</v>
          </cell>
          <cell r="E17">
            <v>0</v>
          </cell>
        </row>
        <row r="18">
          <cell r="E18">
            <v>0</v>
          </cell>
        </row>
        <row r="19">
          <cell r="E19">
            <v>0</v>
          </cell>
        </row>
        <row r="29">
          <cell r="E29">
            <v>0</v>
          </cell>
        </row>
        <row r="31">
          <cell r="E31">
            <v>0</v>
          </cell>
        </row>
        <row r="33">
          <cell r="E33">
            <v>0</v>
          </cell>
        </row>
        <row r="35">
          <cell r="E35">
            <v>0</v>
          </cell>
        </row>
        <row r="44">
          <cell r="C44">
            <v>0</v>
          </cell>
          <cell r="D44">
            <v>0</v>
          </cell>
          <cell r="E44">
            <v>0</v>
          </cell>
        </row>
        <row r="46">
          <cell r="C46">
            <v>0</v>
          </cell>
          <cell r="D46">
            <v>0</v>
          </cell>
          <cell r="E46">
            <v>0</v>
          </cell>
        </row>
        <row r="48">
          <cell r="C48">
            <v>0</v>
          </cell>
          <cell r="D48">
            <v>0</v>
          </cell>
        </row>
        <row r="54">
          <cell r="E54">
            <v>0</v>
          </cell>
        </row>
      </sheetData>
      <sheetData sheetId="24">
        <row r="9">
          <cell r="C9">
            <v>11517</v>
          </cell>
          <cell r="D9">
            <v>11114</v>
          </cell>
          <cell r="E9">
            <v>0</v>
          </cell>
        </row>
        <row r="25">
          <cell r="C25">
            <v>10000</v>
          </cell>
          <cell r="D25">
            <v>5000</v>
          </cell>
          <cell r="E25">
            <v>5000</v>
          </cell>
        </row>
        <row r="26">
          <cell r="C26">
            <v>0</v>
          </cell>
          <cell r="D26">
            <v>0</v>
          </cell>
          <cell r="E26">
            <v>0</v>
          </cell>
        </row>
        <row r="27">
          <cell r="C27">
            <v>0</v>
          </cell>
          <cell r="D27">
            <v>0</v>
          </cell>
        </row>
        <row r="30">
          <cell r="E30">
            <v>0</v>
          </cell>
        </row>
        <row r="44">
          <cell r="C44">
            <v>10403</v>
          </cell>
          <cell r="D44">
            <v>13566</v>
          </cell>
          <cell r="E44">
            <v>5000</v>
          </cell>
        </row>
        <row r="47">
          <cell r="D47">
            <v>1357</v>
          </cell>
        </row>
        <row r="48">
          <cell r="D48">
            <v>1017</v>
          </cell>
        </row>
        <row r="49">
          <cell r="D49">
            <v>174</v>
          </cell>
        </row>
        <row r="58">
          <cell r="D58">
            <v>0</v>
          </cell>
        </row>
      </sheetData>
      <sheetData sheetId="25">
        <row r="9">
          <cell r="C9">
            <v>0</v>
          </cell>
          <cell r="D9">
            <v>0</v>
          </cell>
          <cell r="E9">
            <v>0</v>
          </cell>
        </row>
        <row r="21">
          <cell r="C21">
            <v>0</v>
          </cell>
          <cell r="D21">
            <v>0</v>
          </cell>
          <cell r="E21">
            <v>0</v>
          </cell>
        </row>
        <row r="22">
          <cell r="C22">
            <v>0</v>
          </cell>
          <cell r="D22">
            <v>0</v>
          </cell>
          <cell r="E22">
            <v>0</v>
          </cell>
        </row>
        <row r="23">
          <cell r="C23">
            <v>0</v>
          </cell>
          <cell r="D23">
            <v>0</v>
          </cell>
        </row>
        <row r="26">
          <cell r="E26">
            <v>0</v>
          </cell>
        </row>
      </sheetData>
      <sheetData sheetId="26">
        <row r="9">
          <cell r="C9">
            <v>148046</v>
          </cell>
          <cell r="D9">
            <v>216173</v>
          </cell>
          <cell r="E9">
            <v>118243</v>
          </cell>
        </row>
        <row r="25">
          <cell r="C25">
            <v>102778</v>
          </cell>
          <cell r="D25">
            <v>123156</v>
          </cell>
          <cell r="E25">
            <v>123156</v>
          </cell>
        </row>
        <row r="26">
          <cell r="C26">
            <v>30226</v>
          </cell>
          <cell r="D26">
            <v>35696</v>
          </cell>
          <cell r="E26">
            <v>34275</v>
          </cell>
        </row>
        <row r="27">
          <cell r="C27">
            <v>0</v>
          </cell>
          <cell r="D27">
            <v>0</v>
          </cell>
        </row>
        <row r="30">
          <cell r="E30">
            <v>0</v>
          </cell>
        </row>
        <row r="44">
          <cell r="C44">
            <v>55393</v>
          </cell>
          <cell r="D44">
            <v>238927</v>
          </cell>
          <cell r="E44">
            <v>200000</v>
          </cell>
        </row>
        <row r="45">
          <cell r="E45">
            <v>12934</v>
          </cell>
        </row>
        <row r="47">
          <cell r="C47">
            <v>4907</v>
          </cell>
          <cell r="D47">
            <v>9611</v>
          </cell>
          <cell r="E47">
            <v>11000</v>
          </cell>
        </row>
        <row r="48">
          <cell r="C48">
            <v>3995</v>
          </cell>
          <cell r="D48">
            <v>7128</v>
          </cell>
          <cell r="E48">
            <v>11598</v>
          </cell>
        </row>
        <row r="49">
          <cell r="C49">
            <v>582</v>
          </cell>
          <cell r="D49">
            <v>1116</v>
          </cell>
          <cell r="E49">
            <v>10000</v>
          </cell>
        </row>
        <row r="50">
          <cell r="E50">
            <v>9076</v>
          </cell>
        </row>
        <row r="51">
          <cell r="E51">
            <v>21066</v>
          </cell>
        </row>
      </sheetData>
      <sheetData sheetId="27">
        <row r="9">
          <cell r="C9">
            <v>7243</v>
          </cell>
          <cell r="D9">
            <v>5305</v>
          </cell>
          <cell r="E9">
            <v>7995</v>
          </cell>
        </row>
        <row r="20">
          <cell r="C20">
            <v>5000</v>
          </cell>
          <cell r="D20">
            <v>2945</v>
          </cell>
          <cell r="E20">
            <v>2945</v>
          </cell>
        </row>
        <row r="21">
          <cell r="C21">
            <v>1768</v>
          </cell>
          <cell r="D21">
            <v>2100</v>
          </cell>
          <cell r="E21">
            <v>3020</v>
          </cell>
        </row>
        <row r="22">
          <cell r="C22">
            <v>0</v>
          </cell>
          <cell r="D22">
            <v>0</v>
          </cell>
        </row>
        <row r="25">
          <cell r="E25">
            <v>3610</v>
          </cell>
        </row>
        <row r="39">
          <cell r="C39">
            <v>7454</v>
          </cell>
          <cell r="D39">
            <v>2000</v>
          </cell>
          <cell r="E39">
            <v>8000</v>
          </cell>
        </row>
        <row r="40">
          <cell r="D40">
            <v>0</v>
          </cell>
          <cell r="E40">
            <v>2350</v>
          </cell>
        </row>
        <row r="42">
          <cell r="C42">
            <v>638</v>
          </cell>
          <cell r="D42">
            <v>184</v>
          </cell>
        </row>
        <row r="43">
          <cell r="C43">
            <v>536</v>
          </cell>
          <cell r="D43">
            <v>149</v>
          </cell>
        </row>
        <row r="44">
          <cell r="C44">
            <v>78</v>
          </cell>
          <cell r="D44">
            <v>22</v>
          </cell>
        </row>
      </sheetData>
      <sheetData sheetId="28">
        <row r="9">
          <cell r="C9">
            <v>0</v>
          </cell>
          <cell r="D9">
            <v>0</v>
          </cell>
          <cell r="E9">
            <v>0</v>
          </cell>
        </row>
        <row r="21">
          <cell r="C21">
            <v>0</v>
          </cell>
          <cell r="D21">
            <v>0</v>
          </cell>
          <cell r="E21">
            <v>0</v>
          </cell>
        </row>
        <row r="22">
          <cell r="C22">
            <v>0</v>
          </cell>
          <cell r="D22">
            <v>0</v>
          </cell>
          <cell r="E22">
            <v>0</v>
          </cell>
        </row>
        <row r="23">
          <cell r="C23">
            <v>0</v>
          </cell>
          <cell r="D23">
            <v>0</v>
          </cell>
        </row>
        <row r="26">
          <cell r="E26">
            <v>0</v>
          </cell>
        </row>
      </sheetData>
      <sheetData sheetId="29">
        <row r="9">
          <cell r="C9">
            <v>431022</v>
          </cell>
          <cell r="D9">
            <v>568624</v>
          </cell>
          <cell r="E9">
            <v>575323</v>
          </cell>
        </row>
        <row r="15">
          <cell r="C15">
            <v>130833</v>
          </cell>
        </row>
        <row r="16">
          <cell r="C16">
            <v>134949</v>
          </cell>
          <cell r="D16">
            <v>5063</v>
          </cell>
        </row>
        <row r="17">
          <cell r="D17">
            <v>133958</v>
          </cell>
          <cell r="E17">
            <v>1582</v>
          </cell>
        </row>
        <row r="18">
          <cell r="E18">
            <v>143966</v>
          </cell>
        </row>
        <row r="19">
          <cell r="C19">
            <v>222</v>
          </cell>
          <cell r="D19">
            <v>799</v>
          </cell>
          <cell r="E19">
            <v>1384</v>
          </cell>
        </row>
        <row r="20">
          <cell r="D20">
            <v>54819</v>
          </cell>
        </row>
        <row r="22">
          <cell r="C22">
            <v>59102</v>
          </cell>
          <cell r="D22">
            <v>291236</v>
          </cell>
        </row>
        <row r="25">
          <cell r="C25">
            <v>4611</v>
          </cell>
          <cell r="D25">
            <v>6717</v>
          </cell>
          <cell r="E25">
            <v>7915</v>
          </cell>
        </row>
        <row r="27">
          <cell r="C27">
            <v>54</v>
          </cell>
          <cell r="D27">
            <v>125</v>
          </cell>
          <cell r="E27">
            <v>230</v>
          </cell>
        </row>
        <row r="29">
          <cell r="C29">
            <v>183</v>
          </cell>
          <cell r="D29">
            <v>79</v>
          </cell>
          <cell r="E29">
            <v>193</v>
          </cell>
        </row>
        <row r="33">
          <cell r="E33">
            <v>0</v>
          </cell>
        </row>
        <row r="36">
          <cell r="C36">
            <v>0</v>
          </cell>
          <cell r="D36">
            <v>0</v>
          </cell>
          <cell r="E36">
            <v>0</v>
          </cell>
        </row>
        <row r="42">
          <cell r="C42">
            <v>0</v>
          </cell>
          <cell r="D42">
            <v>0</v>
          </cell>
          <cell r="E42">
            <v>0</v>
          </cell>
        </row>
        <row r="44">
          <cell r="C44">
            <v>192352</v>
          </cell>
          <cell r="D44">
            <v>486097</v>
          </cell>
          <cell r="E44">
            <v>317014</v>
          </cell>
        </row>
        <row r="47">
          <cell r="E47">
            <v>413579</v>
          </cell>
        </row>
        <row r="60">
          <cell r="C60">
            <v>10889</v>
          </cell>
          <cell r="D60">
            <v>0</v>
          </cell>
        </row>
        <row r="61">
          <cell r="C61">
            <v>2150</v>
          </cell>
          <cell r="D61">
            <v>0</v>
          </cell>
          <cell r="E61">
            <v>10000</v>
          </cell>
        </row>
        <row r="87">
          <cell r="C87">
            <v>110702</v>
          </cell>
          <cell r="D87">
            <v>117362</v>
          </cell>
          <cell r="E87">
            <v>61606</v>
          </cell>
        </row>
        <row r="89">
          <cell r="C89">
            <v>4813</v>
          </cell>
          <cell r="D89">
            <v>9851</v>
          </cell>
          <cell r="E89">
            <v>10000</v>
          </cell>
        </row>
        <row r="90">
          <cell r="C90">
            <v>8357</v>
          </cell>
          <cell r="D90">
            <v>8928</v>
          </cell>
          <cell r="E90">
            <v>6000</v>
          </cell>
        </row>
        <row r="91">
          <cell r="C91">
            <v>3304</v>
          </cell>
          <cell r="D91">
            <v>147</v>
          </cell>
          <cell r="E91">
            <v>2000</v>
          </cell>
        </row>
        <row r="92">
          <cell r="D92">
            <v>0</v>
          </cell>
          <cell r="E92">
            <v>7000</v>
          </cell>
        </row>
        <row r="95">
          <cell r="C95">
            <v>12211</v>
          </cell>
          <cell r="D95">
            <v>41629</v>
          </cell>
          <cell r="E95">
            <v>15000</v>
          </cell>
        </row>
        <row r="97">
          <cell r="D97">
            <v>25142</v>
          </cell>
          <cell r="E97">
            <v>15000</v>
          </cell>
        </row>
        <row r="99">
          <cell r="E99">
            <v>15000</v>
          </cell>
        </row>
        <row r="101">
          <cell r="E101">
            <v>15000</v>
          </cell>
        </row>
        <row r="103">
          <cell r="D103">
            <v>283038</v>
          </cell>
          <cell r="E103">
            <v>15000</v>
          </cell>
        </row>
        <row r="106">
          <cell r="E106">
            <v>15000</v>
          </cell>
        </row>
        <row r="114">
          <cell r="E114">
            <v>25000</v>
          </cell>
        </row>
        <row r="115">
          <cell r="E115">
            <v>68408</v>
          </cell>
        </row>
        <row r="116">
          <cell r="E116">
            <v>12000</v>
          </cell>
        </row>
        <row r="137">
          <cell r="C137">
            <v>39926</v>
          </cell>
          <cell r="E137">
            <v>25000</v>
          </cell>
        </row>
      </sheetData>
      <sheetData sheetId="30">
        <row r="9">
          <cell r="C9">
            <v>0</v>
          </cell>
          <cell r="D9">
            <v>0</v>
          </cell>
          <cell r="E9">
            <v>0</v>
          </cell>
        </row>
        <row r="16">
          <cell r="E16">
            <v>0</v>
          </cell>
        </row>
        <row r="17">
          <cell r="E17">
            <v>0</v>
          </cell>
        </row>
        <row r="21">
          <cell r="C21">
            <v>0</v>
          </cell>
          <cell r="D21">
            <v>0</v>
          </cell>
          <cell r="E21">
            <v>0</v>
          </cell>
        </row>
        <row r="22">
          <cell r="C22">
            <v>0</v>
          </cell>
          <cell r="D22">
            <v>0</v>
          </cell>
          <cell r="E22">
            <v>0</v>
          </cell>
        </row>
        <row r="23">
          <cell r="C23">
            <v>0</v>
          </cell>
          <cell r="D23">
            <v>0</v>
          </cell>
        </row>
        <row r="26">
          <cell r="E26">
            <v>0</v>
          </cell>
        </row>
      </sheetData>
      <sheetData sheetId="31">
        <row r="9">
          <cell r="C9">
            <v>0</v>
          </cell>
          <cell r="D9">
            <v>0</v>
          </cell>
          <cell r="E9">
            <v>0</v>
          </cell>
        </row>
      </sheetData>
      <sheetData sheetId="32">
        <row r="9">
          <cell r="C9">
            <v>0</v>
          </cell>
          <cell r="D9">
            <v>0</v>
          </cell>
          <cell r="E9">
            <v>0</v>
          </cell>
        </row>
        <row r="20">
          <cell r="C20">
            <v>0</v>
          </cell>
          <cell r="D20">
            <v>0</v>
          </cell>
          <cell r="E20">
            <v>0</v>
          </cell>
        </row>
        <row r="21">
          <cell r="C21">
            <v>0</v>
          </cell>
          <cell r="D21">
            <v>0</v>
          </cell>
          <cell r="E21">
            <v>0</v>
          </cell>
        </row>
        <row r="22">
          <cell r="C22">
            <v>0</v>
          </cell>
          <cell r="D22">
            <v>0</v>
          </cell>
        </row>
        <row r="25">
          <cell r="E25">
            <v>0</v>
          </cell>
        </row>
      </sheetData>
      <sheetData sheetId="33">
        <row r="9">
          <cell r="C9">
            <v>58894</v>
          </cell>
          <cell r="D9">
            <v>45132</v>
          </cell>
          <cell r="E9">
            <v>66931</v>
          </cell>
        </row>
        <row r="16">
          <cell r="C16">
            <v>10066</v>
          </cell>
          <cell r="D16">
            <v>7256</v>
          </cell>
          <cell r="E16">
            <v>4108</v>
          </cell>
        </row>
        <row r="17">
          <cell r="C17">
            <v>3</v>
          </cell>
          <cell r="E17">
            <v>1465</v>
          </cell>
        </row>
        <row r="18">
          <cell r="E18">
            <v>0</v>
          </cell>
        </row>
        <row r="19">
          <cell r="C19">
            <v>223</v>
          </cell>
          <cell r="E19">
            <v>223</v>
          </cell>
        </row>
        <row r="20">
          <cell r="C20">
            <v>4644</v>
          </cell>
          <cell r="D20">
            <v>5967</v>
          </cell>
          <cell r="E20">
            <v>6686</v>
          </cell>
        </row>
        <row r="23">
          <cell r="C23">
            <v>23110</v>
          </cell>
          <cell r="D23">
            <v>28174</v>
          </cell>
          <cell r="E23">
            <v>168</v>
          </cell>
        </row>
        <row r="25">
          <cell r="C25">
            <v>6787</v>
          </cell>
          <cell r="D25">
            <v>12172</v>
          </cell>
          <cell r="E25">
            <v>27547</v>
          </cell>
        </row>
        <row r="26">
          <cell r="C26">
            <v>9337</v>
          </cell>
          <cell r="E26">
            <v>10000</v>
          </cell>
        </row>
        <row r="28">
          <cell r="C28">
            <v>50000</v>
          </cell>
          <cell r="D28">
            <v>98016</v>
          </cell>
          <cell r="E28">
            <v>90000</v>
          </cell>
        </row>
        <row r="29">
          <cell r="C29">
            <v>0</v>
          </cell>
          <cell r="D29">
            <v>1000</v>
          </cell>
          <cell r="E29">
            <v>0</v>
          </cell>
        </row>
        <row r="30">
          <cell r="C30">
            <v>0</v>
          </cell>
          <cell r="D30">
            <v>0</v>
          </cell>
        </row>
        <row r="33">
          <cell r="E33">
            <v>0</v>
          </cell>
        </row>
        <row r="48">
          <cell r="E48">
            <v>67499</v>
          </cell>
        </row>
        <row r="66">
          <cell r="C66">
            <v>357</v>
          </cell>
          <cell r="D66">
            <v>841</v>
          </cell>
          <cell r="E66">
            <v>12629</v>
          </cell>
        </row>
        <row r="71">
          <cell r="C71">
            <v>45078</v>
          </cell>
          <cell r="D71">
            <v>51189</v>
          </cell>
          <cell r="E71">
            <v>50000</v>
          </cell>
        </row>
        <row r="73">
          <cell r="C73">
            <v>7180</v>
          </cell>
          <cell r="D73">
            <v>7369</v>
          </cell>
          <cell r="E73">
            <v>7500</v>
          </cell>
        </row>
        <row r="74">
          <cell r="C74">
            <v>3411</v>
          </cell>
          <cell r="D74">
            <v>3868</v>
          </cell>
          <cell r="E74">
            <v>3500</v>
          </cell>
        </row>
        <row r="75">
          <cell r="C75">
            <v>42</v>
          </cell>
          <cell r="D75">
            <v>53</v>
          </cell>
          <cell r="E75">
            <v>50</v>
          </cell>
        </row>
        <row r="79">
          <cell r="C79">
            <v>41</v>
          </cell>
          <cell r="D79">
            <v>10</v>
          </cell>
        </row>
        <row r="81">
          <cell r="C81">
            <v>52237</v>
          </cell>
          <cell r="D81">
            <v>60160</v>
          </cell>
          <cell r="E81">
            <v>55000</v>
          </cell>
        </row>
        <row r="82">
          <cell r="C82">
            <v>7137</v>
          </cell>
          <cell r="E82">
            <v>8000</v>
          </cell>
        </row>
        <row r="83">
          <cell r="C83">
            <v>2449</v>
          </cell>
          <cell r="D83">
            <v>6874</v>
          </cell>
          <cell r="E83">
            <v>2950</v>
          </cell>
        </row>
        <row r="84">
          <cell r="D84">
            <v>422</v>
          </cell>
        </row>
      </sheetData>
      <sheetData sheetId="34">
        <row r="9">
          <cell r="C9">
            <v>19192</v>
          </cell>
          <cell r="D9">
            <v>18124</v>
          </cell>
          <cell r="E9">
            <v>20268</v>
          </cell>
        </row>
        <row r="17">
          <cell r="C17">
            <v>190</v>
          </cell>
          <cell r="D17">
            <v>206</v>
          </cell>
          <cell r="E17">
            <v>0</v>
          </cell>
        </row>
        <row r="21">
          <cell r="C21">
            <v>0</v>
          </cell>
          <cell r="D21">
            <v>0</v>
          </cell>
          <cell r="E21">
            <v>0</v>
          </cell>
        </row>
        <row r="22">
          <cell r="C22">
            <v>0</v>
          </cell>
          <cell r="D22">
            <v>1983</v>
          </cell>
          <cell r="E22">
            <v>0</v>
          </cell>
        </row>
        <row r="23">
          <cell r="C23">
            <v>0</v>
          </cell>
          <cell r="D23">
            <v>0</v>
          </cell>
        </row>
        <row r="47">
          <cell r="C47">
            <v>1258</v>
          </cell>
        </row>
        <row r="49">
          <cell r="D49">
            <v>45</v>
          </cell>
        </row>
        <row r="83">
          <cell r="E83">
            <v>20268</v>
          </cell>
        </row>
      </sheetData>
      <sheetData sheetId="35">
        <row r="9">
          <cell r="C9">
            <v>0</v>
          </cell>
          <cell r="D9">
            <v>0</v>
          </cell>
          <cell r="E9">
            <v>0</v>
          </cell>
        </row>
        <row r="18">
          <cell r="C18">
            <v>0</v>
          </cell>
          <cell r="D18">
            <v>0</v>
          </cell>
        </row>
        <row r="22">
          <cell r="C22">
            <v>0</v>
          </cell>
          <cell r="D22">
            <v>0</v>
          </cell>
          <cell r="E22">
            <v>0</v>
          </cell>
        </row>
        <row r="23">
          <cell r="C23">
            <v>0</v>
          </cell>
          <cell r="D23">
            <v>0</v>
          </cell>
          <cell r="E23">
            <v>0</v>
          </cell>
        </row>
        <row r="24">
          <cell r="C24">
            <v>0</v>
          </cell>
          <cell r="D24">
            <v>0</v>
          </cell>
        </row>
        <row r="27">
          <cell r="E27">
            <v>0</v>
          </cell>
        </row>
      </sheetData>
      <sheetData sheetId="36">
        <row r="9">
          <cell r="C9">
            <v>0</v>
          </cell>
          <cell r="D9">
            <v>0</v>
          </cell>
          <cell r="E9">
            <v>0</v>
          </cell>
        </row>
        <row r="24">
          <cell r="C24">
            <v>0</v>
          </cell>
          <cell r="D24">
            <v>0</v>
          </cell>
          <cell r="E24">
            <v>0</v>
          </cell>
        </row>
        <row r="25">
          <cell r="C25">
            <v>0</v>
          </cell>
          <cell r="D25">
            <v>0</v>
          </cell>
          <cell r="E25">
            <v>0</v>
          </cell>
        </row>
        <row r="26">
          <cell r="C26">
            <v>0</v>
          </cell>
          <cell r="D26">
            <v>0</v>
          </cell>
        </row>
        <row r="29">
          <cell r="E29">
            <v>0</v>
          </cell>
        </row>
      </sheetData>
      <sheetData sheetId="37">
        <row r="9">
          <cell r="C9">
            <v>83914</v>
          </cell>
          <cell r="D9">
            <v>53678</v>
          </cell>
          <cell r="E9">
            <v>151300</v>
          </cell>
        </row>
        <row r="15">
          <cell r="C15">
            <v>1785</v>
          </cell>
          <cell r="D15">
            <v>1213</v>
          </cell>
          <cell r="E15">
            <v>2000</v>
          </cell>
        </row>
        <row r="27">
          <cell r="C27">
            <v>125000</v>
          </cell>
          <cell r="D27">
            <v>159283</v>
          </cell>
          <cell r="E27">
            <v>75000</v>
          </cell>
        </row>
        <row r="28">
          <cell r="C28">
            <v>0</v>
          </cell>
          <cell r="D28">
            <v>33751</v>
          </cell>
          <cell r="E28">
            <v>46868</v>
          </cell>
        </row>
        <row r="29">
          <cell r="C29">
            <v>0</v>
          </cell>
          <cell r="D29">
            <v>0</v>
          </cell>
        </row>
        <row r="32">
          <cell r="E32">
            <v>0</v>
          </cell>
        </row>
        <row r="47">
          <cell r="C47">
            <v>42</v>
          </cell>
        </row>
        <row r="59">
          <cell r="C59">
            <v>62115</v>
          </cell>
          <cell r="D59">
            <v>38520</v>
          </cell>
          <cell r="E59">
            <v>165000</v>
          </cell>
        </row>
        <row r="60">
          <cell r="C60">
            <v>94864</v>
          </cell>
          <cell r="D60">
            <v>58105</v>
          </cell>
          <cell r="E60">
            <v>110168</v>
          </cell>
        </row>
      </sheetData>
      <sheetData sheetId="38">
        <row r="9">
          <cell r="C9">
            <v>0</v>
          </cell>
          <cell r="D9">
            <v>0</v>
          </cell>
          <cell r="E9">
            <v>0</v>
          </cell>
        </row>
        <row r="17">
          <cell r="D17">
            <v>0</v>
          </cell>
          <cell r="E17">
            <v>0</v>
          </cell>
        </row>
        <row r="19">
          <cell r="E19">
            <v>0</v>
          </cell>
        </row>
        <row r="21">
          <cell r="E21">
            <v>0</v>
          </cell>
        </row>
        <row r="22">
          <cell r="E22">
            <v>0</v>
          </cell>
        </row>
        <row r="23">
          <cell r="E23">
            <v>0</v>
          </cell>
        </row>
        <row r="24">
          <cell r="E24">
            <v>0</v>
          </cell>
        </row>
        <row r="33">
          <cell r="E33">
            <v>0</v>
          </cell>
        </row>
      </sheetData>
      <sheetData sheetId="39">
        <row r="9">
          <cell r="C9">
            <v>0</v>
          </cell>
          <cell r="D9">
            <v>0</v>
          </cell>
          <cell r="E9">
            <v>0</v>
          </cell>
        </row>
        <row r="25">
          <cell r="C25">
            <v>0</v>
          </cell>
          <cell r="D25">
            <v>0</v>
          </cell>
          <cell r="E25">
            <v>0</v>
          </cell>
        </row>
        <row r="33">
          <cell r="C33">
            <v>0</v>
          </cell>
          <cell r="D33">
            <v>0</v>
          </cell>
          <cell r="E33">
            <v>0</v>
          </cell>
        </row>
        <row r="34">
          <cell r="C34">
            <v>0</v>
          </cell>
          <cell r="D34">
            <v>0</v>
          </cell>
          <cell r="E34">
            <v>0</v>
          </cell>
        </row>
        <row r="35">
          <cell r="C35">
            <v>0</v>
          </cell>
          <cell r="D35">
            <v>0</v>
          </cell>
        </row>
        <row r="38">
          <cell r="E38">
            <v>0</v>
          </cell>
        </row>
      </sheetData>
      <sheetData sheetId="40">
        <row r="9">
          <cell r="C9">
            <v>29059</v>
          </cell>
          <cell r="D9">
            <v>47620</v>
          </cell>
          <cell r="E9">
            <v>50022</v>
          </cell>
        </row>
        <row r="17">
          <cell r="D17">
            <v>11035</v>
          </cell>
        </row>
        <row r="18">
          <cell r="D18">
            <v>3178</v>
          </cell>
          <cell r="E18">
            <v>50000</v>
          </cell>
        </row>
        <row r="19">
          <cell r="C19">
            <v>11789</v>
          </cell>
          <cell r="E19">
            <v>15000</v>
          </cell>
        </row>
        <row r="23">
          <cell r="C23">
            <v>1019</v>
          </cell>
          <cell r="E23">
            <v>0</v>
          </cell>
        </row>
        <row r="24">
          <cell r="C24">
            <v>10570</v>
          </cell>
          <cell r="D24">
            <v>4581</v>
          </cell>
          <cell r="E24">
            <v>10500</v>
          </cell>
        </row>
        <row r="32">
          <cell r="E32">
            <v>0</v>
          </cell>
        </row>
        <row r="53">
          <cell r="C53">
            <v>0</v>
          </cell>
          <cell r="D53">
            <v>6933</v>
          </cell>
          <cell r="E53">
            <v>34520</v>
          </cell>
        </row>
        <row r="54">
          <cell r="C54">
            <v>765</v>
          </cell>
          <cell r="D54">
            <v>1540</v>
          </cell>
          <cell r="E54">
            <v>10500</v>
          </cell>
        </row>
        <row r="56">
          <cell r="C56">
            <v>146</v>
          </cell>
          <cell r="D56">
            <v>269</v>
          </cell>
          <cell r="E56">
            <v>12000</v>
          </cell>
        </row>
        <row r="57">
          <cell r="C57">
            <v>54</v>
          </cell>
          <cell r="D57">
            <v>642</v>
          </cell>
          <cell r="E57">
            <v>6000</v>
          </cell>
        </row>
        <row r="58">
          <cell r="C58">
            <v>12</v>
          </cell>
          <cell r="D58">
            <v>40</v>
          </cell>
          <cell r="E58">
            <v>50100</v>
          </cell>
        </row>
        <row r="59">
          <cell r="E59">
            <v>2402</v>
          </cell>
        </row>
        <row r="68">
          <cell r="C68">
            <v>3522</v>
          </cell>
          <cell r="D68">
            <v>800</v>
          </cell>
          <cell r="E68">
            <v>5000</v>
          </cell>
        </row>
        <row r="72">
          <cell r="C72">
            <v>318</v>
          </cell>
          <cell r="E72">
            <v>5000</v>
          </cell>
        </row>
        <row r="73">
          <cell r="D73">
            <v>2161</v>
          </cell>
        </row>
        <row r="108">
          <cell r="D108">
            <v>385</v>
          </cell>
        </row>
        <row r="109">
          <cell r="D109">
            <v>385</v>
          </cell>
        </row>
        <row r="111">
          <cell r="D111">
            <v>1</v>
          </cell>
        </row>
        <row r="112">
          <cell r="D112">
            <v>58</v>
          </cell>
        </row>
        <row r="113">
          <cell r="D113">
            <v>1</v>
          </cell>
        </row>
        <row r="125">
          <cell r="D125">
            <v>385</v>
          </cell>
        </row>
        <row r="126">
          <cell r="D126">
            <v>385</v>
          </cell>
        </row>
        <row r="128">
          <cell r="D128">
            <v>111</v>
          </cell>
        </row>
        <row r="129">
          <cell r="D129">
            <v>54</v>
          </cell>
        </row>
        <row r="130">
          <cell r="D130">
            <v>12</v>
          </cell>
        </row>
        <row r="155">
          <cell r="D155">
            <v>1540</v>
          </cell>
        </row>
        <row r="157">
          <cell r="D157">
            <v>108</v>
          </cell>
        </row>
        <row r="158">
          <cell r="D158">
            <v>117</v>
          </cell>
        </row>
        <row r="159">
          <cell r="D159">
            <v>1</v>
          </cell>
        </row>
        <row r="215">
          <cell r="D215">
            <v>385</v>
          </cell>
        </row>
        <row r="217">
          <cell r="D217">
            <v>50</v>
          </cell>
        </row>
        <row r="218">
          <cell r="D218">
            <v>29</v>
          </cell>
        </row>
        <row r="219">
          <cell r="D219">
            <v>0</v>
          </cell>
        </row>
      </sheetData>
      <sheetData sheetId="41">
        <row r="9">
          <cell r="C9">
            <v>0</v>
          </cell>
          <cell r="D9">
            <v>0</v>
          </cell>
          <cell r="E9">
            <v>0</v>
          </cell>
        </row>
        <row r="17">
          <cell r="D17">
            <v>0</v>
          </cell>
          <cell r="E17">
            <v>0</v>
          </cell>
        </row>
        <row r="18">
          <cell r="E18">
            <v>0</v>
          </cell>
        </row>
        <row r="19">
          <cell r="E19">
            <v>0</v>
          </cell>
        </row>
        <row r="24">
          <cell r="E24">
            <v>0</v>
          </cell>
        </row>
        <row r="26">
          <cell r="E26">
            <v>0</v>
          </cell>
        </row>
        <row r="28">
          <cell r="E28">
            <v>0</v>
          </cell>
        </row>
        <row r="30">
          <cell r="E30">
            <v>0</v>
          </cell>
        </row>
        <row r="33">
          <cell r="D33">
            <v>0</v>
          </cell>
          <cell r="E33">
            <v>0</v>
          </cell>
        </row>
        <row r="35">
          <cell r="D35">
            <v>0</v>
          </cell>
          <cell r="E35">
            <v>0</v>
          </cell>
        </row>
        <row r="37">
          <cell r="D37">
            <v>0</v>
          </cell>
        </row>
        <row r="47">
          <cell r="C47">
            <v>0</v>
          </cell>
          <cell r="D47">
            <v>0</v>
          </cell>
          <cell r="E47">
            <v>0</v>
          </cell>
        </row>
        <row r="51">
          <cell r="E51">
            <v>0</v>
          </cell>
        </row>
      </sheetData>
      <sheetData sheetId="42">
        <row r="9">
          <cell r="C9">
            <v>0</v>
          </cell>
          <cell r="D9">
            <v>0</v>
          </cell>
          <cell r="E9">
            <v>0</v>
          </cell>
        </row>
        <row r="17">
          <cell r="D17">
            <v>0</v>
          </cell>
          <cell r="E17">
            <v>0</v>
          </cell>
        </row>
        <row r="18">
          <cell r="E18">
            <v>0</v>
          </cell>
        </row>
        <row r="19">
          <cell r="E19">
            <v>0</v>
          </cell>
        </row>
        <row r="22">
          <cell r="E22">
            <v>0</v>
          </cell>
        </row>
        <row r="24">
          <cell r="E24">
            <v>0</v>
          </cell>
        </row>
        <row r="26">
          <cell r="E26">
            <v>0</v>
          </cell>
        </row>
        <row r="28">
          <cell r="E28">
            <v>0</v>
          </cell>
        </row>
        <row r="39">
          <cell r="E39">
            <v>0</v>
          </cell>
        </row>
      </sheetData>
      <sheetData sheetId="43">
        <row r="9">
          <cell r="C9">
            <v>0</v>
          </cell>
          <cell r="D9">
            <v>0</v>
          </cell>
          <cell r="E9">
            <v>0</v>
          </cell>
        </row>
        <row r="17">
          <cell r="D17">
            <v>0</v>
          </cell>
          <cell r="E17">
            <v>0</v>
          </cell>
        </row>
        <row r="19">
          <cell r="E19">
            <v>0</v>
          </cell>
        </row>
        <row r="21">
          <cell r="E21">
            <v>0</v>
          </cell>
        </row>
        <row r="22">
          <cell r="E22">
            <v>0</v>
          </cell>
        </row>
        <row r="23">
          <cell r="E23">
            <v>0</v>
          </cell>
        </row>
        <row r="24">
          <cell r="E24">
            <v>0</v>
          </cell>
        </row>
        <row r="30">
          <cell r="E30">
            <v>0</v>
          </cell>
        </row>
        <row r="33">
          <cell r="E33">
            <v>0</v>
          </cell>
        </row>
      </sheetData>
      <sheetData sheetId="44">
        <row r="9">
          <cell r="C9">
            <v>0</v>
          </cell>
          <cell r="D9">
            <v>0</v>
          </cell>
          <cell r="E9">
            <v>0</v>
          </cell>
        </row>
        <row r="36">
          <cell r="C36">
            <v>0</v>
          </cell>
          <cell r="D36">
            <v>0</v>
          </cell>
        </row>
        <row r="47">
          <cell r="D47">
            <v>0</v>
          </cell>
        </row>
      </sheetData>
      <sheetData sheetId="45">
        <row r="14">
          <cell r="C14">
            <v>85327</v>
          </cell>
          <cell r="D14">
            <v>74260</v>
          </cell>
          <cell r="E14">
            <v>85251</v>
          </cell>
        </row>
        <row r="19">
          <cell r="C19">
            <v>52040</v>
          </cell>
          <cell r="D19">
            <v>43702</v>
          </cell>
          <cell r="E19">
            <v>59684</v>
          </cell>
        </row>
        <row r="21">
          <cell r="C21">
            <v>0</v>
          </cell>
        </row>
        <row r="23">
          <cell r="C23">
            <v>0</v>
          </cell>
        </row>
        <row r="25">
          <cell r="C25">
            <v>13084</v>
          </cell>
          <cell r="D25">
            <v>12067</v>
          </cell>
          <cell r="E25">
            <v>12500</v>
          </cell>
        </row>
        <row r="27">
          <cell r="C27">
            <v>7893</v>
          </cell>
          <cell r="D27">
            <v>7337</v>
          </cell>
          <cell r="E27">
            <v>4567</v>
          </cell>
        </row>
        <row r="29">
          <cell r="C29">
            <v>0</v>
          </cell>
        </row>
        <row r="31">
          <cell r="C31">
            <v>6262</v>
          </cell>
          <cell r="D31">
            <v>5696</v>
          </cell>
          <cell r="E31">
            <v>4500</v>
          </cell>
        </row>
        <row r="33">
          <cell r="C33">
            <v>2648</v>
          </cell>
          <cell r="D33">
            <v>2428</v>
          </cell>
          <cell r="E33">
            <v>1500</v>
          </cell>
        </row>
        <row r="35">
          <cell r="C35">
            <v>0</v>
          </cell>
        </row>
        <row r="37">
          <cell r="C37">
            <v>3400</v>
          </cell>
          <cell r="D37">
            <v>3030</v>
          </cell>
          <cell r="E37">
            <v>2500</v>
          </cell>
        </row>
      </sheetData>
      <sheetData sheetId="46">
        <row r="9">
          <cell r="C9">
            <v>639334</v>
          </cell>
          <cell r="D9">
            <v>880374</v>
          </cell>
          <cell r="E9">
            <v>0</v>
          </cell>
        </row>
        <row r="14">
          <cell r="C14">
            <v>241040</v>
          </cell>
          <cell r="D14">
            <v>52994</v>
          </cell>
        </row>
        <row r="17">
          <cell r="D17">
            <v>0</v>
          </cell>
        </row>
        <row r="31">
          <cell r="D31">
            <v>933368</v>
          </cell>
        </row>
      </sheetData>
      <sheetData sheetId="47">
        <row r="9">
          <cell r="C9">
            <v>4891</v>
          </cell>
          <cell r="D9">
            <v>4674</v>
          </cell>
          <cell r="E9">
            <v>0</v>
          </cell>
        </row>
        <row r="18">
          <cell r="C18">
            <v>150</v>
          </cell>
        </row>
        <row r="22">
          <cell r="C22">
            <v>0</v>
          </cell>
          <cell r="D22">
            <v>0</v>
          </cell>
        </row>
        <row r="23">
          <cell r="C23">
            <v>0</v>
          </cell>
          <cell r="D23">
            <v>0</v>
          </cell>
        </row>
        <row r="24">
          <cell r="C24">
            <v>0</v>
          </cell>
          <cell r="D24">
            <v>0</v>
          </cell>
        </row>
        <row r="30">
          <cell r="D30">
            <v>4674</v>
          </cell>
        </row>
        <row r="33">
          <cell r="C33">
            <v>367</v>
          </cell>
        </row>
        <row r="42">
          <cell r="D42">
            <v>0</v>
          </cell>
        </row>
      </sheetData>
      <sheetData sheetId="48">
        <row r="9">
          <cell r="C9">
            <v>36468</v>
          </cell>
          <cell r="D9">
            <v>31831</v>
          </cell>
          <cell r="E9">
            <v>0</v>
          </cell>
        </row>
        <row r="36">
          <cell r="D36">
            <v>28843</v>
          </cell>
        </row>
        <row r="45">
          <cell r="C45">
            <v>4637</v>
          </cell>
          <cell r="D45">
            <v>2988</v>
          </cell>
        </row>
      </sheetData>
      <sheetData sheetId="49">
        <row r="9">
          <cell r="C9">
            <v>274620</v>
          </cell>
          <cell r="D9">
            <v>290585</v>
          </cell>
          <cell r="E9">
            <v>301494</v>
          </cell>
        </row>
        <row r="14">
          <cell r="C14">
            <v>1119</v>
          </cell>
        </row>
        <row r="15">
          <cell r="C15">
            <v>163041</v>
          </cell>
          <cell r="D15">
            <v>5915</v>
          </cell>
        </row>
        <row r="16">
          <cell r="D16">
            <v>150660</v>
          </cell>
          <cell r="E16">
            <v>1805</v>
          </cell>
        </row>
        <row r="17">
          <cell r="E17">
            <v>153289</v>
          </cell>
        </row>
        <row r="18">
          <cell r="C18">
            <v>249</v>
          </cell>
          <cell r="D18">
            <v>944</v>
          </cell>
          <cell r="E18">
            <v>1557</v>
          </cell>
        </row>
        <row r="24">
          <cell r="C24">
            <v>5015</v>
          </cell>
          <cell r="D24">
            <v>8140</v>
          </cell>
          <cell r="E24">
            <v>9342</v>
          </cell>
        </row>
        <row r="26">
          <cell r="C26">
            <v>48</v>
          </cell>
          <cell r="D26">
            <v>150</v>
          </cell>
          <cell r="E26">
            <v>271</v>
          </cell>
        </row>
        <row r="28">
          <cell r="C28">
            <v>218</v>
          </cell>
          <cell r="E28">
            <v>227</v>
          </cell>
        </row>
        <row r="30">
          <cell r="E30">
            <v>0</v>
          </cell>
        </row>
        <row r="33">
          <cell r="E33">
            <v>0</v>
          </cell>
        </row>
        <row r="35">
          <cell r="E35">
            <v>0</v>
          </cell>
        </row>
        <row r="37">
          <cell r="E37">
            <v>0</v>
          </cell>
        </row>
        <row r="39">
          <cell r="E39">
            <v>0</v>
          </cell>
        </row>
        <row r="42">
          <cell r="E42">
            <v>0</v>
          </cell>
        </row>
        <row r="48">
          <cell r="C48">
            <v>28725</v>
          </cell>
          <cell r="D48">
            <v>24900</v>
          </cell>
          <cell r="E48">
            <v>24900</v>
          </cell>
        </row>
        <row r="50">
          <cell r="C50">
            <v>125000</v>
          </cell>
          <cell r="D50">
            <v>130000</v>
          </cell>
          <cell r="E50">
            <v>130000</v>
          </cell>
        </row>
        <row r="51">
          <cell r="C51">
            <v>153725</v>
          </cell>
          <cell r="D51">
            <v>154900</v>
          </cell>
          <cell r="E51">
            <v>154900</v>
          </cell>
        </row>
        <row r="57">
          <cell r="E57">
            <v>313085</v>
          </cell>
        </row>
      </sheetData>
      <sheetData sheetId="50">
        <row r="9">
          <cell r="D9">
            <v>0</v>
          </cell>
          <cell r="E9">
            <v>0</v>
          </cell>
        </row>
        <row r="16">
          <cell r="D16">
            <v>0</v>
          </cell>
          <cell r="E16">
            <v>0</v>
          </cell>
        </row>
        <row r="17">
          <cell r="E17">
            <v>0</v>
          </cell>
        </row>
        <row r="18">
          <cell r="E18">
            <v>0</v>
          </cell>
        </row>
        <row r="24">
          <cell r="E24">
            <v>0</v>
          </cell>
        </row>
        <row r="26">
          <cell r="E26">
            <v>0</v>
          </cell>
        </row>
        <row r="28">
          <cell r="E28">
            <v>0</v>
          </cell>
        </row>
        <row r="30">
          <cell r="E30">
            <v>0</v>
          </cell>
        </row>
        <row r="33">
          <cell r="E33">
            <v>0</v>
          </cell>
        </row>
        <row r="35">
          <cell r="E35">
            <v>0</v>
          </cell>
        </row>
        <row r="37">
          <cell r="E37">
            <v>0</v>
          </cell>
        </row>
        <row r="39">
          <cell r="E39">
            <v>0</v>
          </cell>
        </row>
        <row r="42">
          <cell r="E42">
            <v>0</v>
          </cell>
        </row>
        <row r="51">
          <cell r="C51">
            <v>0</v>
          </cell>
          <cell r="D51">
            <v>0</v>
          </cell>
          <cell r="E51">
            <v>0</v>
          </cell>
        </row>
        <row r="57">
          <cell r="E57">
            <v>0</v>
          </cell>
        </row>
      </sheetData>
      <sheetData sheetId="51">
        <row r="9">
          <cell r="D9">
            <v>0</v>
          </cell>
          <cell r="E9">
            <v>0</v>
          </cell>
        </row>
        <row r="16">
          <cell r="D16">
            <v>0</v>
          </cell>
          <cell r="E16">
            <v>0</v>
          </cell>
        </row>
        <row r="17">
          <cell r="E17">
            <v>0</v>
          </cell>
        </row>
        <row r="18">
          <cell r="E18">
            <v>0</v>
          </cell>
        </row>
        <row r="22">
          <cell r="E22">
            <v>0</v>
          </cell>
        </row>
        <row r="24">
          <cell r="E24">
            <v>0</v>
          </cell>
        </row>
        <row r="26">
          <cell r="E26">
            <v>0</v>
          </cell>
        </row>
        <row r="28">
          <cell r="E28">
            <v>0</v>
          </cell>
        </row>
        <row r="40">
          <cell r="E40">
            <v>0</v>
          </cell>
        </row>
      </sheetData>
      <sheetData sheetId="52">
        <row r="9">
          <cell r="D9">
            <v>0</v>
          </cell>
          <cell r="E9">
            <v>0</v>
          </cell>
        </row>
        <row r="16">
          <cell r="D16">
            <v>0</v>
          </cell>
          <cell r="E16">
            <v>0</v>
          </cell>
        </row>
        <row r="17">
          <cell r="E17">
            <v>0</v>
          </cell>
        </row>
        <row r="18">
          <cell r="E18">
            <v>0</v>
          </cell>
        </row>
        <row r="22">
          <cell r="E22">
            <v>0</v>
          </cell>
        </row>
        <row r="24">
          <cell r="E24">
            <v>0</v>
          </cell>
        </row>
        <row r="26">
          <cell r="E26">
            <v>0</v>
          </cell>
        </row>
        <row r="28">
          <cell r="E28">
            <v>0</v>
          </cell>
        </row>
        <row r="38">
          <cell r="E38">
            <v>0</v>
          </cell>
        </row>
      </sheetData>
      <sheetData sheetId="53">
        <row r="9">
          <cell r="D9">
            <v>0</v>
          </cell>
          <cell r="E9">
            <v>0</v>
          </cell>
        </row>
        <row r="16">
          <cell r="D16">
            <v>0</v>
          </cell>
          <cell r="E16">
            <v>0</v>
          </cell>
        </row>
        <row r="17">
          <cell r="E17">
            <v>0</v>
          </cell>
        </row>
        <row r="18">
          <cell r="E18">
            <v>0</v>
          </cell>
        </row>
        <row r="23">
          <cell r="E23">
            <v>0</v>
          </cell>
        </row>
        <row r="25">
          <cell r="E25">
            <v>0</v>
          </cell>
        </row>
        <row r="27">
          <cell r="E27">
            <v>0</v>
          </cell>
        </row>
        <row r="29">
          <cell r="E29">
            <v>0</v>
          </cell>
        </row>
        <row r="41">
          <cell r="E41">
            <v>0</v>
          </cell>
        </row>
      </sheetData>
      <sheetData sheetId="54">
        <row r="9">
          <cell r="C9">
            <v>0</v>
          </cell>
          <cell r="D9">
            <v>0</v>
          </cell>
          <cell r="E9">
            <v>0</v>
          </cell>
        </row>
        <row r="25">
          <cell r="E25">
            <v>0</v>
          </cell>
        </row>
      </sheetData>
      <sheetData sheetId="55"/>
      <sheetData sheetId="56"/>
      <sheetData sheetId="57"/>
      <sheetData sheetId="58"/>
      <sheetData sheetId="59"/>
      <sheetData sheetId="60">
        <row r="14">
          <cell r="E14">
            <v>20</v>
          </cell>
          <cell r="G14">
            <v>20</v>
          </cell>
          <cell r="H14">
            <v>1229124</v>
          </cell>
          <cell r="J14">
            <v>20</v>
          </cell>
        </row>
        <row r="15">
          <cell r="E15">
            <v>19.545000000000002</v>
          </cell>
          <cell r="G15">
            <v>18.940999999999999</v>
          </cell>
          <cell r="H15">
            <v>437737</v>
          </cell>
          <cell r="J15">
            <v>23.21</v>
          </cell>
        </row>
        <row r="17">
          <cell r="H17">
            <v>62800</v>
          </cell>
        </row>
        <row r="18">
          <cell r="E18">
            <v>0</v>
          </cell>
          <cell r="G18">
            <v>0</v>
          </cell>
          <cell r="H18">
            <v>0</v>
          </cell>
          <cell r="J18">
            <v>0</v>
          </cell>
        </row>
        <row r="19">
          <cell r="H19">
            <v>5000</v>
          </cell>
        </row>
        <row r="20">
          <cell r="H20">
            <v>0</v>
          </cell>
        </row>
        <row r="21">
          <cell r="H21">
            <v>275674</v>
          </cell>
        </row>
        <row r="22">
          <cell r="H22">
            <v>10350</v>
          </cell>
        </row>
        <row r="23">
          <cell r="H23">
            <v>0</v>
          </cell>
        </row>
        <row r="24">
          <cell r="E24">
            <v>7.4589999999999996</v>
          </cell>
          <cell r="G24">
            <v>7.9829999999999997</v>
          </cell>
          <cell r="H24">
            <v>317014</v>
          </cell>
          <cell r="J24">
            <v>8</v>
          </cell>
        </row>
        <row r="25">
          <cell r="H25">
            <v>0</v>
          </cell>
        </row>
        <row r="26">
          <cell r="E26">
            <v>0</v>
          </cell>
          <cell r="G26">
            <v>0</v>
          </cell>
          <cell r="H26">
            <v>0</v>
          </cell>
          <cell r="J26">
            <v>0</v>
          </cell>
        </row>
        <row r="27">
          <cell r="H27">
            <v>0</v>
          </cell>
        </row>
        <row r="28">
          <cell r="H28">
            <v>207128</v>
          </cell>
        </row>
        <row r="29">
          <cell r="H29">
            <v>0</v>
          </cell>
        </row>
        <row r="30">
          <cell r="H30">
            <v>0</v>
          </cell>
        </row>
        <row r="31">
          <cell r="H31">
            <v>0</v>
          </cell>
        </row>
        <row r="32">
          <cell r="H32">
            <v>275168</v>
          </cell>
        </row>
        <row r="33">
          <cell r="E33">
            <v>0</v>
          </cell>
          <cell r="G33">
            <v>0</v>
          </cell>
          <cell r="H33">
            <v>0</v>
          </cell>
          <cell r="J33">
            <v>0</v>
          </cell>
        </row>
        <row r="34">
          <cell r="H34">
            <v>0</v>
          </cell>
        </row>
        <row r="35">
          <cell r="H35">
            <v>125522</v>
          </cell>
        </row>
        <row r="36">
          <cell r="E36">
            <v>0</v>
          </cell>
          <cell r="G36">
            <v>0</v>
          </cell>
          <cell r="H36">
            <v>0</v>
          </cell>
          <cell r="J36">
            <v>0</v>
          </cell>
        </row>
        <row r="37">
          <cell r="E37">
            <v>0</v>
          </cell>
          <cell r="G37">
            <v>0</v>
          </cell>
          <cell r="H37">
            <v>0</v>
          </cell>
          <cell r="J37">
            <v>0</v>
          </cell>
        </row>
        <row r="38">
          <cell r="E38">
            <v>0</v>
          </cell>
          <cell r="G38">
            <v>0</v>
          </cell>
          <cell r="H38">
            <v>0</v>
          </cell>
          <cell r="J38">
            <v>0</v>
          </cell>
        </row>
        <row r="40">
          <cell r="H40">
            <v>85251</v>
          </cell>
        </row>
        <row r="45">
          <cell r="E45">
            <v>9.0280000000000005</v>
          </cell>
          <cell r="G45">
            <v>8.98</v>
          </cell>
          <cell r="H45">
            <v>154900</v>
          </cell>
          <cell r="J45">
            <v>8.5180000000000007</v>
          </cell>
        </row>
        <row r="46">
          <cell r="E46">
            <v>0</v>
          </cell>
          <cell r="G46">
            <v>0</v>
          </cell>
          <cell r="H46">
            <v>0</v>
          </cell>
          <cell r="J46">
            <v>0</v>
          </cell>
        </row>
        <row r="47">
          <cell r="E47">
            <v>0</v>
          </cell>
          <cell r="G47">
            <v>0</v>
          </cell>
          <cell r="H47">
            <v>0</v>
          </cell>
          <cell r="J47">
            <v>0</v>
          </cell>
        </row>
        <row r="48">
          <cell r="E48">
            <v>0</v>
          </cell>
          <cell r="G48">
            <v>0</v>
          </cell>
          <cell r="H48">
            <v>0</v>
          </cell>
          <cell r="J48">
            <v>0</v>
          </cell>
        </row>
        <row r="49">
          <cell r="E49">
            <v>0</v>
          </cell>
          <cell r="G49">
            <v>0</v>
          </cell>
          <cell r="H49">
            <v>0</v>
          </cell>
          <cell r="J49">
            <v>0</v>
          </cell>
        </row>
        <row r="51">
          <cell r="H51">
            <v>0</v>
          </cell>
        </row>
        <row r="53">
          <cell r="H53">
            <v>380264</v>
          </cell>
        </row>
        <row r="64">
          <cell r="E64">
            <v>0</v>
          </cell>
          <cell r="G64">
            <v>0</v>
          </cell>
          <cell r="J64">
            <v>0</v>
          </cell>
        </row>
        <row r="65">
          <cell r="E65">
            <v>0</v>
          </cell>
          <cell r="G65">
            <v>0</v>
          </cell>
          <cell r="J65">
            <v>0</v>
          </cell>
        </row>
        <row r="66">
          <cell r="E66">
            <v>0</v>
          </cell>
          <cell r="G66">
            <v>0</v>
          </cell>
          <cell r="J66">
            <v>0</v>
          </cell>
        </row>
        <row r="67">
          <cell r="E67">
            <v>2.266</v>
          </cell>
          <cell r="G67">
            <v>2.3410000000000002</v>
          </cell>
          <cell r="J67">
            <v>2</v>
          </cell>
        </row>
        <row r="68">
          <cell r="E68">
            <v>0</v>
          </cell>
          <cell r="G68">
            <v>0</v>
          </cell>
          <cell r="J68">
            <v>0</v>
          </cell>
        </row>
        <row r="82">
          <cell r="D82">
            <v>1020000</v>
          </cell>
          <cell r="F82">
            <v>895000</v>
          </cell>
          <cell r="H82">
            <v>765000</v>
          </cell>
        </row>
      </sheetData>
      <sheetData sheetId="61"/>
      <sheetData sheetId="62"/>
      <sheetData sheetId="63"/>
      <sheetData sheetId="64"/>
      <sheetData sheetId="65">
        <row r="3">
          <cell r="B3" t="str">
            <v>2023-24 Actual</v>
          </cell>
          <cell r="E3" t="str">
            <v>2024-25 Actual</v>
          </cell>
          <cell r="H3" t="str">
            <v>2025-26 Contracted</v>
          </cell>
        </row>
        <row r="4">
          <cell r="B4" t="str">
            <v>FTE</v>
          </cell>
          <cell r="C4" t="str">
            <v>Total Salary</v>
          </cell>
          <cell r="D4" t="str">
            <v>Average Salary</v>
          </cell>
          <cell r="E4" t="str">
            <v>FTE</v>
          </cell>
          <cell r="F4" t="str">
            <v>Total Salary</v>
          </cell>
          <cell r="G4" t="str">
            <v>Average Salary</v>
          </cell>
          <cell r="H4" t="str">
            <v>FTE</v>
          </cell>
          <cell r="I4" t="str">
            <v>Total Salary</v>
          </cell>
          <cell r="J4" t="str">
            <v>Average Salary</v>
          </cell>
        </row>
        <row r="5">
          <cell r="A5" t="str">
            <v>Administrators (Licensed/Non-Licensed)</v>
          </cell>
          <cell r="B5">
            <v>1.5</v>
          </cell>
          <cell r="C5">
            <v>115358</v>
          </cell>
          <cell r="D5">
            <v>76905</v>
          </cell>
          <cell r="E5">
            <v>1.5</v>
          </cell>
          <cell r="F5">
            <v>111000</v>
          </cell>
          <cell r="G5">
            <v>74000</v>
          </cell>
          <cell r="H5">
            <v>1.2</v>
          </cell>
          <cell r="I5">
            <v>108000</v>
          </cell>
          <cell r="J5">
            <v>90000</v>
          </cell>
          <cell r="S5" t="str">
            <v>2023-2024</v>
          </cell>
          <cell r="T5" t="str">
            <v>2024-2025</v>
          </cell>
          <cell r="U5" t="str">
            <v>2025-2026</v>
          </cell>
        </row>
        <row r="6">
          <cell r="A6" t="str">
            <v>Teachers (Full Time)</v>
          </cell>
          <cell r="B6">
            <v>5</v>
          </cell>
          <cell r="C6">
            <v>291328</v>
          </cell>
          <cell r="D6">
            <v>58266</v>
          </cell>
          <cell r="E6">
            <v>5</v>
          </cell>
          <cell r="F6">
            <v>296325</v>
          </cell>
          <cell r="G6">
            <v>59265</v>
          </cell>
          <cell r="H6">
            <v>6</v>
          </cell>
          <cell r="I6">
            <v>347150</v>
          </cell>
          <cell r="J6">
            <v>57858</v>
          </cell>
          <cell r="R6" t="str">
            <v>Administrators (Licensed/Non-Licensed)</v>
          </cell>
          <cell r="S6">
            <v>76905</v>
          </cell>
          <cell r="T6">
            <v>74000</v>
          </cell>
          <cell r="U6">
            <v>90000</v>
          </cell>
        </row>
        <row r="7">
          <cell r="A7" t="str">
            <v>Other Licensed Personnel</v>
          </cell>
          <cell r="B7">
            <v>1</v>
          </cell>
          <cell r="C7">
            <v>20873</v>
          </cell>
          <cell r="D7">
            <v>20873</v>
          </cell>
          <cell r="E7">
            <v>1</v>
          </cell>
          <cell r="F7">
            <v>26000</v>
          </cell>
          <cell r="G7">
            <v>26000</v>
          </cell>
          <cell r="H7">
            <v>1</v>
          </cell>
          <cell r="I7">
            <v>7200</v>
          </cell>
          <cell r="J7">
            <v>7200</v>
          </cell>
          <cell r="R7" t="str">
            <v>Teachers (Full Time)</v>
          </cell>
          <cell r="S7">
            <v>58266</v>
          </cell>
          <cell r="T7">
            <v>59265</v>
          </cell>
          <cell r="U7">
            <v>57858</v>
          </cell>
        </row>
        <row r="8">
          <cell r="A8" t="str">
            <v>Classified Personnel</v>
          </cell>
          <cell r="B8">
            <v>10</v>
          </cell>
          <cell r="C8">
            <v>251164</v>
          </cell>
          <cell r="D8">
            <v>25116</v>
          </cell>
          <cell r="E8">
            <v>10</v>
          </cell>
          <cell r="F8">
            <v>324108</v>
          </cell>
          <cell r="G8">
            <v>32411</v>
          </cell>
          <cell r="H8">
            <v>11</v>
          </cell>
          <cell r="I8">
            <v>320600</v>
          </cell>
          <cell r="J8">
            <v>29145</v>
          </cell>
          <cell r="R8" t="str">
            <v>Other Licensed Personnel</v>
          </cell>
          <cell r="S8">
            <v>20873</v>
          </cell>
          <cell r="T8">
            <v>26000</v>
          </cell>
          <cell r="U8">
            <v>7200</v>
          </cell>
        </row>
        <row r="9">
          <cell r="A9" t="str">
            <v>Substitutes/Temporary Help</v>
          </cell>
          <cell r="B9" t="str">
            <v>~~~~~~</v>
          </cell>
          <cell r="C9">
            <v>3102</v>
          </cell>
          <cell r="D9" t="str">
            <v>~~~~~~</v>
          </cell>
          <cell r="E9" t="str">
            <v>~~~~~~</v>
          </cell>
          <cell r="F9">
            <v>5000</v>
          </cell>
          <cell r="G9" t="str">
            <v>~~~~~~</v>
          </cell>
          <cell r="H9" t="str">
            <v>~~~~~~</v>
          </cell>
          <cell r="I9">
            <v>5500</v>
          </cell>
          <cell r="J9" t="str">
            <v>~~~~~~</v>
          </cell>
          <cell r="R9" t="str">
            <v>Classified Personnel</v>
          </cell>
          <cell r="S9">
            <v>25116</v>
          </cell>
          <cell r="T9">
            <v>32411</v>
          </cell>
          <cell r="U9">
            <v>29145</v>
          </cell>
        </row>
        <row r="26">
          <cell r="A26" t="str">
            <v>Administrators:</v>
          </cell>
          <cell r="B26" t="str">
            <v>*Licensed Personnel - Superintendent; Assistant Superintendent; Administrative Assistants; Principals/ Assistant Principals; Directors/Supervisors Special Education; Directors/Supervisors of Health; Directors/Supervisors of VocEd; Instructional Coordinators/Supervisors; All Other Directors/Supervisors.</v>
          </cell>
        </row>
        <row r="27">
          <cell r="B27" t="str">
            <v>** Non-Licensed Personnel - Assistant Superintendents; Business Managers; Business Services (Directors/Coordinators/Supervisors); Food Service (Directors/Coordinators/Supervisors); Transportation (Directors/Coordinators/Supervisors); Custodial Maintenance (Directors/Coordinators/Supervisors); Other (Directors/Coordinators/Supervisors).</v>
          </cell>
        </row>
        <row r="28">
          <cell r="A28" t="str">
            <v>Teachers (Full Time Only):</v>
          </cell>
          <cell r="B28" t="str">
            <v>*Practical Arts/Vocational Teachers; Special Education Teachers; Prekindergarten Teachers; Kindergarten Teachers; Reading Specialists/Teachers; All Other Teachers.</v>
          </cell>
        </row>
        <row r="29">
          <cell r="A29" t="str">
            <v>Other Certified (Licensed) Personnel:</v>
          </cell>
          <cell r="B29" t="str">
            <v>Part-Time Teachers; Library Media Specialists; School Counselors; Clinical or School Psychologists; Speech Pathologists; Audiologists; Nurses (RN); Social Workers.</v>
          </cell>
        </row>
        <row r="30">
          <cell r="A30" t="str">
            <v>Classified Personnel:</v>
          </cell>
          <cell r="B30" t="str">
            <v>**Attendance Services Staff; Library Media Aides; Security Officers; Regular Education Teacher Aides; Secretarial/Clerical; Special Education Paraprofessionals; Nurses (LPN); Food Service Workers; Custodians; Bus Drivers.</v>
          </cell>
        </row>
        <row r="31">
          <cell r="A31" t="str">
            <v>Substitutes/Temporary:</v>
          </cell>
          <cell r="B31" t="str">
            <v>**Substitute Teachers, Rule 10 Coaches, Coaching Assistants and other short term temporary help.</v>
          </cell>
        </row>
        <row r="32">
          <cell r="A32" t="str">
            <v>Total Salary:</v>
          </cell>
          <cell r="B32" t="str">
            <v>Report total salary including employee reduction plans***,  supplemental, extra pay for summer school, and board paid fringe benefits (employer paid)****.</v>
          </cell>
        </row>
        <row r="33">
          <cell r="A33" t="str">
            <v>*FTE for Licensed Administrators, Teachers and Other Licensed Personnel is defined by the local school board.  Generally FTE for teachers with a 9-10 month contract should be reported as 1.0; FTE for Principals with a 10-12 month contract should be reported as 1.0; FTE for Superintendents with a 12 month contract should be reported as 1.0.</v>
          </cell>
        </row>
        <row r="34">
          <cell r="A34" t="str">
            <v>**FTE of 1.0 for Non-Licensed Administrators, Classified Personnel and Substitutes/Temporary should be based upon 2,080 hours.</v>
          </cell>
        </row>
        <row r="35">
          <cell r="A35" t="str">
            <v>***Employee reduction plans include benefits received by employees under a Section 125 Salary Reduction Agreement.  Does not include social security, workers' compensation, and unemployment insurance.</v>
          </cell>
        </row>
        <row r="36">
          <cell r="A36" t="str">
            <v>****Board paid fringe benefits (employer paid) include group life, group health, disability income, accidental death and dismemberment, and hospital surgical, and/or medical expense insurance.  Does not include social security, workers' compensation, and unemployment insurance.</v>
          </cell>
        </row>
      </sheetData>
      <sheetData sheetId="66"/>
      <sheetData sheetId="67"/>
      <sheetData sheetId="68"/>
      <sheetData sheetId="69">
        <row r="4">
          <cell r="N4" t="str">
            <v>2023-2024</v>
          </cell>
          <cell r="O4" t="str">
            <v>2024-2025</v>
          </cell>
          <cell r="P4" t="str">
            <v>2025-2026</v>
          </cell>
          <cell r="R4" t="str">
            <v>2021-2022</v>
          </cell>
          <cell r="S4" t="str">
            <v>2022-2023</v>
          </cell>
        </row>
        <row r="5">
          <cell r="Q5">
            <v>2025</v>
          </cell>
          <cell r="S5">
            <v>2026</v>
          </cell>
        </row>
        <row r="17">
          <cell r="N17">
            <v>45108</v>
          </cell>
          <cell r="O17" t="str">
            <v>July 1, 2024</v>
          </cell>
          <cell r="P17" t="str">
            <v>July 1, 2025</v>
          </cell>
        </row>
        <row r="44">
          <cell r="O44" t="str">
            <v>Bond and Interest #1</v>
          </cell>
        </row>
        <row r="46">
          <cell r="O46" t="str">
            <v>Bond and Interest #2</v>
          </cell>
        </row>
        <row r="53">
          <cell r="O53" t="str">
            <v>Recreation Commission</v>
          </cell>
        </row>
        <row r="62">
          <cell r="Q62" t="str">
            <v>Rec Comm Employee Bnfts</v>
          </cell>
        </row>
      </sheetData>
      <sheetData sheetId="70">
        <row r="4">
          <cell r="A4">
            <v>101</v>
          </cell>
          <cell r="B4" t="str">
            <v>101 - Erie-Galesburg</v>
          </cell>
          <cell r="C4" t="str">
            <v>Neosho</v>
          </cell>
          <cell r="D4">
            <v>39120809</v>
          </cell>
          <cell r="E4">
            <v>32529501</v>
          </cell>
          <cell r="F4">
            <v>38661562</v>
          </cell>
          <cell r="G4">
            <v>29002022</v>
          </cell>
          <cell r="H4">
            <v>395.5</v>
          </cell>
          <cell r="I4">
            <v>418</v>
          </cell>
          <cell r="J4">
            <v>325</v>
          </cell>
          <cell r="K4">
            <v>4992432</v>
          </cell>
          <cell r="L4">
            <v>436</v>
          </cell>
          <cell r="M4">
            <v>404.3</v>
          </cell>
          <cell r="N4">
            <v>433.5</v>
          </cell>
          <cell r="O4">
            <v>408</v>
          </cell>
          <cell r="P4">
            <v>484836</v>
          </cell>
          <cell r="Q4">
            <v>619220</v>
          </cell>
          <cell r="R4">
            <v>776821</v>
          </cell>
          <cell r="S4">
            <v>731167</v>
          </cell>
          <cell r="T4">
            <v>4272</v>
          </cell>
          <cell r="U4">
            <v>3396</v>
          </cell>
          <cell r="V4">
            <v>0</v>
          </cell>
          <cell r="W4">
            <v>0.37</v>
          </cell>
          <cell r="X4">
            <v>218</v>
          </cell>
          <cell r="Y4">
            <v>29</v>
          </cell>
          <cell r="Z4">
            <v>0.36</v>
          </cell>
          <cell r="AA4">
            <v>0</v>
          </cell>
          <cell r="AB4">
            <v>0.43469999999999998</v>
          </cell>
          <cell r="AC4">
            <v>464347</v>
          </cell>
          <cell r="AD4">
            <v>455171</v>
          </cell>
          <cell r="AE4">
            <v>455171</v>
          </cell>
          <cell r="AF4">
            <v>430</v>
          </cell>
          <cell r="AG4">
            <v>400.5</v>
          </cell>
          <cell r="AH4">
            <v>427.5</v>
          </cell>
          <cell r="AI4">
            <v>403</v>
          </cell>
          <cell r="AJ4">
            <v>0</v>
          </cell>
          <cell r="AM4">
            <v>2</v>
          </cell>
          <cell r="AN4">
            <v>0</v>
          </cell>
          <cell r="AO4">
            <v>392</v>
          </cell>
          <cell r="AQ4">
            <v>0</v>
          </cell>
          <cell r="AT4">
            <v>0</v>
          </cell>
          <cell r="AU4">
            <v>0</v>
          </cell>
          <cell r="AV4">
            <v>4169659</v>
          </cell>
          <cell r="AW4">
            <v>121935</v>
          </cell>
          <cell r="AX4">
            <v>132796</v>
          </cell>
          <cell r="AY4">
            <v>704577</v>
          </cell>
          <cell r="AZ4">
            <v>1</v>
          </cell>
          <cell r="BA4">
            <v>1</v>
          </cell>
          <cell r="BB4">
            <v>0</v>
          </cell>
          <cell r="BC4">
            <v>0</v>
          </cell>
          <cell r="BE4">
            <v>4373119</v>
          </cell>
          <cell r="BF4">
            <v>3030</v>
          </cell>
          <cell r="BG4">
            <v>3958</v>
          </cell>
          <cell r="BH4">
            <v>33</v>
          </cell>
          <cell r="BI4">
            <v>39120809</v>
          </cell>
          <cell r="BJ4">
            <v>38661562</v>
          </cell>
          <cell r="BL4">
            <v>144</v>
          </cell>
          <cell r="BM4">
            <v>208</v>
          </cell>
          <cell r="BN4">
            <v>234</v>
          </cell>
          <cell r="BO4">
            <v>58</v>
          </cell>
          <cell r="BP4">
            <v>34</v>
          </cell>
          <cell r="BQ4">
            <v>33</v>
          </cell>
        </row>
        <row r="5">
          <cell r="A5">
            <v>102</v>
          </cell>
          <cell r="B5" t="str">
            <v>102 - Cimarron-Ensign</v>
          </cell>
          <cell r="C5" t="str">
            <v>Gray</v>
          </cell>
          <cell r="D5">
            <v>63563959</v>
          </cell>
          <cell r="E5">
            <v>57827806</v>
          </cell>
          <cell r="F5">
            <v>63724381</v>
          </cell>
          <cell r="G5">
            <v>54069692</v>
          </cell>
          <cell r="H5">
            <v>590.1</v>
          </cell>
          <cell r="I5">
            <v>579.6</v>
          </cell>
          <cell r="J5">
            <v>538</v>
          </cell>
          <cell r="K5">
            <v>5846962</v>
          </cell>
          <cell r="L5">
            <v>633</v>
          </cell>
          <cell r="M5">
            <v>594.6</v>
          </cell>
          <cell r="N5">
            <v>587.6</v>
          </cell>
          <cell r="O5">
            <v>543</v>
          </cell>
          <cell r="P5">
            <v>512639</v>
          </cell>
          <cell r="Q5">
            <v>481576</v>
          </cell>
          <cell r="R5">
            <v>653259</v>
          </cell>
          <cell r="S5">
            <v>538383</v>
          </cell>
          <cell r="T5">
            <v>9909</v>
          </cell>
          <cell r="U5">
            <v>0</v>
          </cell>
          <cell r="V5">
            <v>0</v>
          </cell>
          <cell r="W5">
            <v>0.15</v>
          </cell>
          <cell r="X5">
            <v>191</v>
          </cell>
          <cell r="Y5">
            <v>54</v>
          </cell>
          <cell r="Z5">
            <v>0.14000000000000001</v>
          </cell>
          <cell r="AA5">
            <v>0</v>
          </cell>
          <cell r="AB5">
            <v>0.31730000000000003</v>
          </cell>
          <cell r="AC5">
            <v>649287</v>
          </cell>
          <cell r="AD5">
            <v>612672</v>
          </cell>
          <cell r="AE5">
            <v>612672</v>
          </cell>
          <cell r="AF5">
            <v>633</v>
          </cell>
          <cell r="AG5">
            <v>594.6</v>
          </cell>
          <cell r="AH5">
            <v>587.6</v>
          </cell>
          <cell r="AI5">
            <v>543</v>
          </cell>
          <cell r="AJ5">
            <v>0</v>
          </cell>
          <cell r="AM5">
            <v>0</v>
          </cell>
          <cell r="AN5">
            <v>0</v>
          </cell>
          <cell r="AO5">
            <v>533.5</v>
          </cell>
          <cell r="AQ5">
            <v>0</v>
          </cell>
          <cell r="AT5">
            <v>0</v>
          </cell>
          <cell r="AU5">
            <v>0</v>
          </cell>
          <cell r="AV5">
            <v>5277505</v>
          </cell>
          <cell r="AW5">
            <v>61939</v>
          </cell>
          <cell r="AX5">
            <v>68426</v>
          </cell>
          <cell r="AY5">
            <v>615014</v>
          </cell>
          <cell r="AZ5">
            <v>1</v>
          </cell>
          <cell r="BA5">
            <v>1</v>
          </cell>
          <cell r="BB5">
            <v>0</v>
          </cell>
          <cell r="BC5">
            <v>0</v>
          </cell>
          <cell r="BE5">
            <v>5365221</v>
          </cell>
          <cell r="BF5">
            <v>0</v>
          </cell>
          <cell r="BG5">
            <v>7578</v>
          </cell>
          <cell r="BH5">
            <v>33</v>
          </cell>
          <cell r="BI5">
            <v>63224801</v>
          </cell>
          <cell r="BJ5">
            <v>63385585</v>
          </cell>
          <cell r="BL5">
            <v>170</v>
          </cell>
          <cell r="BM5">
            <v>206</v>
          </cell>
          <cell r="BN5">
            <v>194</v>
          </cell>
          <cell r="BO5">
            <v>76</v>
          </cell>
          <cell r="BP5">
            <v>64</v>
          </cell>
          <cell r="BQ5">
            <v>74</v>
          </cell>
        </row>
        <row r="6">
          <cell r="A6">
            <v>103</v>
          </cell>
          <cell r="B6" t="str">
            <v>103 - Cheylin</v>
          </cell>
          <cell r="C6" t="str">
            <v>Cheyenne</v>
          </cell>
          <cell r="D6">
            <v>44735456</v>
          </cell>
          <cell r="E6">
            <v>42312807</v>
          </cell>
          <cell r="F6">
            <v>45419845</v>
          </cell>
          <cell r="G6">
            <v>41645028</v>
          </cell>
          <cell r="H6">
            <v>147</v>
          </cell>
          <cell r="I6">
            <v>149.5</v>
          </cell>
          <cell r="J6">
            <v>688</v>
          </cell>
          <cell r="K6">
            <v>1999540</v>
          </cell>
          <cell r="L6">
            <v>144.80000000000001</v>
          </cell>
          <cell r="M6">
            <v>147</v>
          </cell>
          <cell r="N6">
            <v>149.5</v>
          </cell>
          <cell r="O6">
            <v>152</v>
          </cell>
          <cell r="P6">
            <v>104255</v>
          </cell>
          <cell r="Q6">
            <v>133002</v>
          </cell>
          <cell r="R6">
            <v>0</v>
          </cell>
          <cell r="S6">
            <v>190255</v>
          </cell>
          <cell r="T6">
            <v>0</v>
          </cell>
          <cell r="U6">
            <v>0</v>
          </cell>
          <cell r="V6">
            <v>0</v>
          </cell>
          <cell r="W6">
            <v>0</v>
          </cell>
          <cell r="X6">
            <v>66</v>
          </cell>
          <cell r="Y6">
            <v>13</v>
          </cell>
          <cell r="Z6">
            <v>0</v>
          </cell>
          <cell r="AA6">
            <v>0</v>
          </cell>
          <cell r="AB6">
            <v>0</v>
          </cell>
          <cell r="AC6">
            <v>167003</v>
          </cell>
          <cell r="AD6">
            <v>186117</v>
          </cell>
          <cell r="AE6">
            <v>186117</v>
          </cell>
          <cell r="AF6">
            <v>144.80000000000001</v>
          </cell>
          <cell r="AG6">
            <v>147</v>
          </cell>
          <cell r="AH6">
            <v>149.5</v>
          </cell>
          <cell r="AI6">
            <v>152</v>
          </cell>
          <cell r="AJ6">
            <v>0</v>
          </cell>
          <cell r="AM6">
            <v>0</v>
          </cell>
          <cell r="AN6">
            <v>0</v>
          </cell>
          <cell r="AO6">
            <v>152</v>
          </cell>
          <cell r="AQ6">
            <v>0</v>
          </cell>
          <cell r="AT6">
            <v>0</v>
          </cell>
          <cell r="AU6">
            <v>0</v>
          </cell>
          <cell r="AV6">
            <v>1715923</v>
          </cell>
          <cell r="AW6">
            <v>0</v>
          </cell>
          <cell r="AX6">
            <v>0</v>
          </cell>
          <cell r="AY6">
            <v>0</v>
          </cell>
          <cell r="AZ6">
            <v>1</v>
          </cell>
          <cell r="BA6">
            <v>1</v>
          </cell>
          <cell r="BB6">
            <v>0</v>
          </cell>
          <cell r="BC6">
            <v>0</v>
          </cell>
          <cell r="BE6">
            <v>1842468</v>
          </cell>
          <cell r="BF6">
            <v>0</v>
          </cell>
          <cell r="BG6">
            <v>0</v>
          </cell>
          <cell r="BH6">
            <v>33</v>
          </cell>
          <cell r="BI6">
            <v>44735456</v>
          </cell>
          <cell r="BJ6">
            <v>45334075</v>
          </cell>
          <cell r="BL6">
            <v>60</v>
          </cell>
          <cell r="BM6">
            <v>62</v>
          </cell>
          <cell r="BN6">
            <v>65</v>
          </cell>
          <cell r="BO6">
            <v>21</v>
          </cell>
          <cell r="BP6">
            <v>10</v>
          </cell>
          <cell r="BQ6">
            <v>13</v>
          </cell>
        </row>
        <row r="7">
          <cell r="A7">
            <v>105</v>
          </cell>
          <cell r="B7" t="str">
            <v>105 - Rawlins County</v>
          </cell>
          <cell r="C7" t="str">
            <v>Rawlins</v>
          </cell>
          <cell r="D7">
            <v>53007858</v>
          </cell>
          <cell r="E7">
            <v>48337226</v>
          </cell>
          <cell r="F7">
            <v>52419615</v>
          </cell>
          <cell r="G7">
            <v>45265018</v>
          </cell>
          <cell r="H7">
            <v>374.5</v>
          </cell>
          <cell r="I7">
            <v>359.5</v>
          </cell>
          <cell r="J7">
            <v>740.1</v>
          </cell>
          <cell r="K7">
            <v>3846346</v>
          </cell>
          <cell r="L7">
            <v>360.9</v>
          </cell>
          <cell r="M7">
            <v>374.5</v>
          </cell>
          <cell r="N7">
            <v>359.5</v>
          </cell>
          <cell r="O7">
            <v>346.5</v>
          </cell>
          <cell r="P7">
            <v>280739</v>
          </cell>
          <cell r="Q7">
            <v>330129</v>
          </cell>
          <cell r="R7">
            <v>115484</v>
          </cell>
          <cell r="S7">
            <v>333603</v>
          </cell>
          <cell r="T7">
            <v>0</v>
          </cell>
          <cell r="U7">
            <v>0</v>
          </cell>
          <cell r="V7">
            <v>0</v>
          </cell>
          <cell r="W7">
            <v>0</v>
          </cell>
          <cell r="X7">
            <v>126</v>
          </cell>
          <cell r="Y7">
            <v>17</v>
          </cell>
          <cell r="Z7">
            <v>0</v>
          </cell>
          <cell r="AA7">
            <v>0</v>
          </cell>
          <cell r="AB7">
            <v>0.107</v>
          </cell>
          <cell r="AC7">
            <v>418943</v>
          </cell>
          <cell r="AD7">
            <v>406183</v>
          </cell>
          <cell r="AE7">
            <v>406183</v>
          </cell>
          <cell r="AF7">
            <v>360.9</v>
          </cell>
          <cell r="AG7">
            <v>374.5</v>
          </cell>
          <cell r="AH7">
            <v>359.5</v>
          </cell>
          <cell r="AI7">
            <v>346.5</v>
          </cell>
          <cell r="AJ7">
            <v>0</v>
          </cell>
          <cell r="AM7">
            <v>0</v>
          </cell>
          <cell r="AN7">
            <v>0</v>
          </cell>
          <cell r="AO7">
            <v>346.5</v>
          </cell>
          <cell r="AQ7">
            <v>0</v>
          </cell>
          <cell r="AT7">
            <v>0</v>
          </cell>
          <cell r="AU7">
            <v>0</v>
          </cell>
          <cell r="AV7">
            <v>3356677</v>
          </cell>
          <cell r="AW7">
            <v>0</v>
          </cell>
          <cell r="AX7">
            <v>0</v>
          </cell>
          <cell r="AY7">
            <v>58854</v>
          </cell>
          <cell r="AZ7">
            <v>1</v>
          </cell>
          <cell r="BA7">
            <v>1</v>
          </cell>
          <cell r="BB7">
            <v>0</v>
          </cell>
          <cell r="BC7">
            <v>0</v>
          </cell>
          <cell r="BE7">
            <v>3508978</v>
          </cell>
          <cell r="BF7">
            <v>2647</v>
          </cell>
          <cell r="BG7">
            <v>2521</v>
          </cell>
          <cell r="BH7">
            <v>33</v>
          </cell>
          <cell r="BI7">
            <v>53007858</v>
          </cell>
          <cell r="BJ7">
            <v>50555227</v>
          </cell>
          <cell r="BL7">
            <v>140</v>
          </cell>
          <cell r="BM7">
            <v>152</v>
          </cell>
          <cell r="BN7">
            <v>118</v>
          </cell>
          <cell r="BO7">
            <v>48</v>
          </cell>
          <cell r="BP7">
            <v>25</v>
          </cell>
          <cell r="BQ7">
            <v>41</v>
          </cell>
        </row>
        <row r="8">
          <cell r="A8">
            <v>106</v>
          </cell>
          <cell r="B8" t="str">
            <v>106 - Western Plains</v>
          </cell>
          <cell r="C8" t="str">
            <v>Ness</v>
          </cell>
          <cell r="D8">
            <v>42957626</v>
          </cell>
          <cell r="E8">
            <v>40352013</v>
          </cell>
          <cell r="F8">
            <v>41059277</v>
          </cell>
          <cell r="G8">
            <v>37441908</v>
          </cell>
          <cell r="H8">
            <v>106.5</v>
          </cell>
          <cell r="I8">
            <v>110</v>
          </cell>
          <cell r="J8">
            <v>601.20000000000005</v>
          </cell>
          <cell r="K8">
            <v>1655886</v>
          </cell>
          <cell r="L8">
            <v>112</v>
          </cell>
          <cell r="M8">
            <v>110.5</v>
          </cell>
          <cell r="N8">
            <v>116.5</v>
          </cell>
          <cell r="O8">
            <v>118.5</v>
          </cell>
          <cell r="P8">
            <v>93572</v>
          </cell>
          <cell r="Q8">
            <v>92943</v>
          </cell>
          <cell r="R8">
            <v>0</v>
          </cell>
          <cell r="S8">
            <v>151342</v>
          </cell>
          <cell r="T8">
            <v>0</v>
          </cell>
          <cell r="U8">
            <v>0</v>
          </cell>
          <cell r="V8">
            <v>0</v>
          </cell>
          <cell r="W8">
            <v>0</v>
          </cell>
          <cell r="X8">
            <v>71</v>
          </cell>
          <cell r="Y8">
            <v>14</v>
          </cell>
          <cell r="Z8">
            <v>0</v>
          </cell>
          <cell r="AA8">
            <v>0</v>
          </cell>
          <cell r="AB8">
            <v>0</v>
          </cell>
          <cell r="AC8">
            <v>191437</v>
          </cell>
          <cell r="AD8">
            <v>183543</v>
          </cell>
          <cell r="AE8">
            <v>183543</v>
          </cell>
          <cell r="AF8">
            <v>112</v>
          </cell>
          <cell r="AG8">
            <v>110.5</v>
          </cell>
          <cell r="AH8">
            <v>116.5</v>
          </cell>
          <cell r="AI8">
            <v>118.5</v>
          </cell>
          <cell r="AJ8">
            <v>0</v>
          </cell>
          <cell r="AM8">
            <v>0</v>
          </cell>
          <cell r="AN8">
            <v>0</v>
          </cell>
          <cell r="AO8">
            <v>113</v>
          </cell>
          <cell r="AQ8">
            <v>0</v>
          </cell>
          <cell r="AT8">
            <v>0</v>
          </cell>
          <cell r="AU8">
            <v>0</v>
          </cell>
          <cell r="AV8">
            <v>1459606</v>
          </cell>
          <cell r="AW8">
            <v>0</v>
          </cell>
          <cell r="AX8">
            <v>0</v>
          </cell>
          <cell r="AY8">
            <v>0</v>
          </cell>
          <cell r="AZ8">
            <v>1</v>
          </cell>
          <cell r="BA8">
            <v>1</v>
          </cell>
          <cell r="BB8">
            <v>0</v>
          </cell>
          <cell r="BC8">
            <v>0</v>
          </cell>
          <cell r="BE8">
            <v>1539727</v>
          </cell>
          <cell r="BF8">
            <v>1743</v>
          </cell>
          <cell r="BG8">
            <v>41</v>
          </cell>
          <cell r="BH8">
            <v>33</v>
          </cell>
          <cell r="BI8">
            <v>42957626</v>
          </cell>
          <cell r="BJ8">
            <v>40998473</v>
          </cell>
          <cell r="BL8">
            <v>58</v>
          </cell>
          <cell r="BM8">
            <v>68</v>
          </cell>
          <cell r="BN8">
            <v>79</v>
          </cell>
          <cell r="BO8">
            <v>9</v>
          </cell>
          <cell r="BP8">
            <v>7</v>
          </cell>
          <cell r="BQ8">
            <v>7</v>
          </cell>
        </row>
        <row r="9">
          <cell r="A9">
            <v>107</v>
          </cell>
          <cell r="B9" t="str">
            <v>107 - Rock Hills</v>
          </cell>
          <cell r="C9" t="str">
            <v>Jewell</v>
          </cell>
          <cell r="D9">
            <v>62768247</v>
          </cell>
          <cell r="E9">
            <v>56836201</v>
          </cell>
          <cell r="F9">
            <v>60156701</v>
          </cell>
          <cell r="G9">
            <v>51562790</v>
          </cell>
          <cell r="H9">
            <v>355.5</v>
          </cell>
          <cell r="I9">
            <v>348</v>
          </cell>
          <cell r="J9">
            <v>762</v>
          </cell>
          <cell r="K9">
            <v>4080826</v>
          </cell>
          <cell r="L9">
            <v>380.5</v>
          </cell>
          <cell r="M9">
            <v>360.5</v>
          </cell>
          <cell r="N9">
            <v>357</v>
          </cell>
          <cell r="O9">
            <v>344</v>
          </cell>
          <cell r="P9">
            <v>376463</v>
          </cell>
          <cell r="Q9">
            <v>441759</v>
          </cell>
          <cell r="R9">
            <v>0</v>
          </cell>
          <cell r="S9">
            <v>323214</v>
          </cell>
          <cell r="T9">
            <v>7043</v>
          </cell>
          <cell r="U9">
            <v>6312</v>
          </cell>
          <cell r="V9">
            <v>0</v>
          </cell>
          <cell r="W9">
            <v>0</v>
          </cell>
          <cell r="X9">
            <v>159</v>
          </cell>
          <cell r="Y9">
            <v>51</v>
          </cell>
          <cell r="Z9">
            <v>0</v>
          </cell>
          <cell r="AA9">
            <v>0</v>
          </cell>
          <cell r="AB9">
            <v>0</v>
          </cell>
          <cell r="AC9">
            <v>349489</v>
          </cell>
          <cell r="AD9">
            <v>337228</v>
          </cell>
          <cell r="AE9">
            <v>337228</v>
          </cell>
          <cell r="AF9">
            <v>380.5</v>
          </cell>
          <cell r="AG9">
            <v>360.5</v>
          </cell>
          <cell r="AH9">
            <v>357</v>
          </cell>
          <cell r="AI9">
            <v>344</v>
          </cell>
          <cell r="AJ9">
            <v>0</v>
          </cell>
          <cell r="AM9">
            <v>0</v>
          </cell>
          <cell r="AN9">
            <v>0</v>
          </cell>
          <cell r="AO9">
            <v>334</v>
          </cell>
          <cell r="AQ9">
            <v>0</v>
          </cell>
          <cell r="AT9">
            <v>0</v>
          </cell>
          <cell r="AU9">
            <v>0</v>
          </cell>
          <cell r="AV9">
            <v>3611003</v>
          </cell>
          <cell r="AW9">
            <v>0</v>
          </cell>
          <cell r="AX9">
            <v>0</v>
          </cell>
          <cell r="AY9">
            <v>0</v>
          </cell>
          <cell r="AZ9">
            <v>1</v>
          </cell>
          <cell r="BA9">
            <v>1</v>
          </cell>
          <cell r="BB9">
            <v>0</v>
          </cell>
          <cell r="BC9">
            <v>0</v>
          </cell>
          <cell r="BE9">
            <v>3639067</v>
          </cell>
          <cell r="BF9">
            <v>170</v>
          </cell>
          <cell r="BG9">
            <v>2417</v>
          </cell>
          <cell r="BH9">
            <v>33</v>
          </cell>
          <cell r="BI9">
            <v>62768247</v>
          </cell>
          <cell r="BJ9">
            <v>60156701</v>
          </cell>
          <cell r="BL9">
            <v>142</v>
          </cell>
          <cell r="BM9">
            <v>152</v>
          </cell>
          <cell r="BN9">
            <v>163</v>
          </cell>
          <cell r="BO9">
            <v>59</v>
          </cell>
          <cell r="BP9">
            <v>50</v>
          </cell>
          <cell r="BQ9">
            <v>40</v>
          </cell>
        </row>
        <row r="10">
          <cell r="A10">
            <v>108</v>
          </cell>
          <cell r="B10" t="str">
            <v>108 - Washington Co. Schools</v>
          </cell>
          <cell r="C10" t="str">
            <v>Washington</v>
          </cell>
          <cell r="D10">
            <v>64180859</v>
          </cell>
          <cell r="E10">
            <v>59049269</v>
          </cell>
          <cell r="F10">
            <v>65978121</v>
          </cell>
          <cell r="G10">
            <v>57803106</v>
          </cell>
          <cell r="H10">
            <v>347.5</v>
          </cell>
          <cell r="I10">
            <v>351.4</v>
          </cell>
          <cell r="J10">
            <v>389</v>
          </cell>
          <cell r="K10">
            <v>3986711</v>
          </cell>
          <cell r="L10">
            <v>349</v>
          </cell>
          <cell r="M10">
            <v>352</v>
          </cell>
          <cell r="N10">
            <v>352.9</v>
          </cell>
          <cell r="O10">
            <v>341.3</v>
          </cell>
          <cell r="P10">
            <v>370954</v>
          </cell>
          <cell r="Q10">
            <v>416921</v>
          </cell>
          <cell r="R10">
            <v>0</v>
          </cell>
          <cell r="S10">
            <v>548331</v>
          </cell>
          <cell r="T10">
            <v>0</v>
          </cell>
          <cell r="U10">
            <v>0</v>
          </cell>
          <cell r="V10">
            <v>0</v>
          </cell>
          <cell r="W10">
            <v>0</v>
          </cell>
          <cell r="X10">
            <v>157</v>
          </cell>
          <cell r="Y10">
            <v>37</v>
          </cell>
          <cell r="Z10">
            <v>0</v>
          </cell>
          <cell r="AA10">
            <v>0</v>
          </cell>
          <cell r="AB10">
            <v>0</v>
          </cell>
          <cell r="AC10">
            <v>402615</v>
          </cell>
          <cell r="AD10">
            <v>365938</v>
          </cell>
          <cell r="AE10">
            <v>365938</v>
          </cell>
          <cell r="AF10">
            <v>349</v>
          </cell>
          <cell r="AG10">
            <v>352</v>
          </cell>
          <cell r="AH10">
            <v>352.9</v>
          </cell>
          <cell r="AI10">
            <v>341.3</v>
          </cell>
          <cell r="AJ10">
            <v>0</v>
          </cell>
          <cell r="AM10">
            <v>0</v>
          </cell>
          <cell r="AN10">
            <v>0</v>
          </cell>
          <cell r="AO10">
            <v>336.3</v>
          </cell>
          <cell r="AQ10">
            <v>0</v>
          </cell>
          <cell r="AT10">
            <v>0</v>
          </cell>
          <cell r="AU10">
            <v>0</v>
          </cell>
          <cell r="AV10">
            <v>3296476</v>
          </cell>
          <cell r="AW10">
            <v>0</v>
          </cell>
          <cell r="AX10">
            <v>0</v>
          </cell>
          <cell r="AY10">
            <v>0</v>
          </cell>
          <cell r="AZ10">
            <v>1</v>
          </cell>
          <cell r="BA10">
            <v>1</v>
          </cell>
          <cell r="BB10">
            <v>0</v>
          </cell>
          <cell r="BC10">
            <v>0</v>
          </cell>
          <cell r="BE10">
            <v>3569790</v>
          </cell>
          <cell r="BF10">
            <v>3014</v>
          </cell>
          <cell r="BG10">
            <v>2592</v>
          </cell>
          <cell r="BH10">
            <v>33</v>
          </cell>
          <cell r="BI10">
            <v>62850564</v>
          </cell>
          <cell r="BJ10">
            <v>64416329</v>
          </cell>
          <cell r="BL10">
            <v>119</v>
          </cell>
          <cell r="BM10">
            <v>131</v>
          </cell>
          <cell r="BN10">
            <v>149</v>
          </cell>
          <cell r="BO10">
            <v>66</v>
          </cell>
          <cell r="BP10">
            <v>56</v>
          </cell>
          <cell r="BQ10">
            <v>52</v>
          </cell>
        </row>
        <row r="11">
          <cell r="A11">
            <v>109</v>
          </cell>
          <cell r="B11" t="str">
            <v>109 - Republic County</v>
          </cell>
          <cell r="C11" t="str">
            <v>Republic</v>
          </cell>
          <cell r="D11">
            <v>69866212</v>
          </cell>
          <cell r="E11">
            <v>62850572</v>
          </cell>
          <cell r="F11">
            <v>247691383</v>
          </cell>
          <cell r="G11">
            <v>237145351</v>
          </cell>
          <cell r="H11">
            <v>496.3</v>
          </cell>
          <cell r="I11">
            <v>504.8</v>
          </cell>
          <cell r="J11">
            <v>560</v>
          </cell>
          <cell r="K11">
            <v>5538264</v>
          </cell>
          <cell r="L11">
            <v>500.8</v>
          </cell>
          <cell r="M11">
            <v>499.3</v>
          </cell>
          <cell r="N11">
            <v>508.8</v>
          </cell>
          <cell r="O11">
            <v>505.8</v>
          </cell>
          <cell r="P11">
            <v>511297</v>
          </cell>
          <cell r="Q11">
            <v>550070</v>
          </cell>
          <cell r="R11">
            <v>216985</v>
          </cell>
          <cell r="S11">
            <v>615260</v>
          </cell>
          <cell r="T11">
            <v>0</v>
          </cell>
          <cell r="U11">
            <v>0</v>
          </cell>
          <cell r="V11">
            <v>0</v>
          </cell>
          <cell r="W11">
            <v>0</v>
          </cell>
          <cell r="X11">
            <v>257</v>
          </cell>
          <cell r="Y11">
            <v>43</v>
          </cell>
          <cell r="Z11">
            <v>0</v>
          </cell>
          <cell r="AA11">
            <v>0</v>
          </cell>
          <cell r="AB11">
            <v>0.14879999999999999</v>
          </cell>
          <cell r="AC11">
            <v>518336</v>
          </cell>
          <cell r="AD11">
            <v>494132</v>
          </cell>
          <cell r="AE11">
            <v>494132</v>
          </cell>
          <cell r="AF11">
            <v>500.8</v>
          </cell>
          <cell r="AG11">
            <v>499.3</v>
          </cell>
          <cell r="AH11">
            <v>508.8</v>
          </cell>
          <cell r="AI11">
            <v>505.8</v>
          </cell>
          <cell r="AJ11">
            <v>0</v>
          </cell>
          <cell r="AM11">
            <v>0</v>
          </cell>
          <cell r="AN11">
            <v>0</v>
          </cell>
          <cell r="AO11">
            <v>502.3</v>
          </cell>
          <cell r="AQ11">
            <v>0</v>
          </cell>
          <cell r="AT11">
            <v>0</v>
          </cell>
          <cell r="AU11">
            <v>0</v>
          </cell>
          <cell r="AV11">
            <v>4566018</v>
          </cell>
          <cell r="AW11">
            <v>0</v>
          </cell>
          <cell r="AX11">
            <v>0</v>
          </cell>
          <cell r="AY11">
            <v>125518</v>
          </cell>
          <cell r="AZ11">
            <v>1</v>
          </cell>
          <cell r="BA11">
            <v>1</v>
          </cell>
          <cell r="BB11">
            <v>0</v>
          </cell>
          <cell r="BC11">
            <v>0</v>
          </cell>
          <cell r="BE11">
            <v>4988194</v>
          </cell>
          <cell r="BF11">
            <v>7268</v>
          </cell>
          <cell r="BG11">
            <v>3110</v>
          </cell>
          <cell r="BH11">
            <v>33</v>
          </cell>
          <cell r="BI11">
            <v>69390597</v>
          </cell>
          <cell r="BJ11">
            <v>67121310</v>
          </cell>
          <cell r="BL11">
            <v>185</v>
          </cell>
          <cell r="BM11">
            <v>229</v>
          </cell>
          <cell r="BN11">
            <v>231</v>
          </cell>
          <cell r="BO11">
            <v>75</v>
          </cell>
          <cell r="BP11">
            <v>62</v>
          </cell>
          <cell r="BQ11">
            <v>62</v>
          </cell>
        </row>
        <row r="12">
          <cell r="A12">
            <v>110</v>
          </cell>
          <cell r="B12" t="str">
            <v>110 - Thunder Ridge Schools</v>
          </cell>
          <cell r="C12" t="str">
            <v>Phillips</v>
          </cell>
          <cell r="D12">
            <v>29988502</v>
          </cell>
          <cell r="E12">
            <v>26884423</v>
          </cell>
          <cell r="F12">
            <v>28574196</v>
          </cell>
          <cell r="G12">
            <v>24027557</v>
          </cell>
          <cell r="H12">
            <v>169.5</v>
          </cell>
          <cell r="I12">
            <v>172.5</v>
          </cell>
          <cell r="J12">
            <v>491</v>
          </cell>
          <cell r="K12">
            <v>2303935</v>
          </cell>
          <cell r="L12">
            <v>178.5</v>
          </cell>
          <cell r="M12">
            <v>172.5</v>
          </cell>
          <cell r="N12">
            <v>174.5</v>
          </cell>
          <cell r="O12">
            <v>165.5</v>
          </cell>
          <cell r="P12">
            <v>211450</v>
          </cell>
          <cell r="Q12">
            <v>242351</v>
          </cell>
          <cell r="R12">
            <v>0</v>
          </cell>
          <cell r="S12">
            <v>333931</v>
          </cell>
          <cell r="T12">
            <v>0</v>
          </cell>
          <cell r="U12">
            <v>0</v>
          </cell>
          <cell r="V12">
            <v>0</v>
          </cell>
          <cell r="W12">
            <v>0</v>
          </cell>
          <cell r="X12">
            <v>64</v>
          </cell>
          <cell r="Y12">
            <v>23</v>
          </cell>
          <cell r="Z12">
            <v>0</v>
          </cell>
          <cell r="AA12">
            <v>0</v>
          </cell>
          <cell r="AB12">
            <v>0</v>
          </cell>
          <cell r="AC12">
            <v>240133</v>
          </cell>
          <cell r="AD12">
            <v>228844</v>
          </cell>
          <cell r="AE12">
            <v>228844</v>
          </cell>
          <cell r="AF12">
            <v>178.5</v>
          </cell>
          <cell r="AG12">
            <v>172.5</v>
          </cell>
          <cell r="AH12">
            <v>174.5</v>
          </cell>
          <cell r="AI12">
            <v>165.5</v>
          </cell>
          <cell r="AJ12">
            <v>0</v>
          </cell>
          <cell r="AM12">
            <v>0</v>
          </cell>
          <cell r="AN12">
            <v>1</v>
          </cell>
          <cell r="AO12">
            <v>162.5</v>
          </cell>
          <cell r="AQ12">
            <v>0</v>
          </cell>
          <cell r="AT12">
            <v>0</v>
          </cell>
          <cell r="AU12">
            <v>0</v>
          </cell>
          <cell r="AV12">
            <v>1967232</v>
          </cell>
          <cell r="AW12">
            <v>0</v>
          </cell>
          <cell r="AX12">
            <v>0</v>
          </cell>
          <cell r="AY12">
            <v>0</v>
          </cell>
          <cell r="AZ12">
            <v>1</v>
          </cell>
          <cell r="BA12">
            <v>1</v>
          </cell>
          <cell r="BB12">
            <v>0</v>
          </cell>
          <cell r="BC12">
            <v>0</v>
          </cell>
          <cell r="BE12">
            <v>2061584</v>
          </cell>
          <cell r="BF12">
            <v>860</v>
          </cell>
          <cell r="BG12">
            <v>372</v>
          </cell>
          <cell r="BH12">
            <v>33</v>
          </cell>
          <cell r="BI12">
            <v>29988502</v>
          </cell>
          <cell r="BJ12">
            <v>28574196</v>
          </cell>
          <cell r="BL12">
            <v>54</v>
          </cell>
          <cell r="BM12">
            <v>67</v>
          </cell>
          <cell r="BN12">
            <v>55</v>
          </cell>
          <cell r="BO12">
            <v>25</v>
          </cell>
          <cell r="BP12">
            <v>17</v>
          </cell>
          <cell r="BQ12">
            <v>25</v>
          </cell>
        </row>
        <row r="13">
          <cell r="A13">
            <v>111</v>
          </cell>
          <cell r="B13" t="str">
            <v>111 - Doniphan West Schools</v>
          </cell>
          <cell r="C13" t="str">
            <v>Doniphan</v>
          </cell>
          <cell r="D13">
            <v>83474869</v>
          </cell>
          <cell r="E13">
            <v>79290137</v>
          </cell>
          <cell r="F13">
            <v>81040498</v>
          </cell>
          <cell r="G13">
            <v>74543295</v>
          </cell>
          <cell r="H13">
            <v>354.2</v>
          </cell>
          <cell r="I13">
            <v>369.8</v>
          </cell>
          <cell r="J13">
            <v>229</v>
          </cell>
          <cell r="K13">
            <v>3988453</v>
          </cell>
          <cell r="L13">
            <v>337.4</v>
          </cell>
          <cell r="M13">
            <v>356.7</v>
          </cell>
          <cell r="N13">
            <v>374.8</v>
          </cell>
          <cell r="O13">
            <v>365.1</v>
          </cell>
          <cell r="P13">
            <v>436669</v>
          </cell>
          <cell r="Q13">
            <v>438017</v>
          </cell>
          <cell r="R13">
            <v>0</v>
          </cell>
          <cell r="S13">
            <v>555221</v>
          </cell>
          <cell r="T13">
            <v>13668</v>
          </cell>
          <cell r="U13">
            <v>14663</v>
          </cell>
          <cell r="V13">
            <v>0</v>
          </cell>
          <cell r="W13">
            <v>0</v>
          </cell>
          <cell r="X13">
            <v>133</v>
          </cell>
          <cell r="Y13">
            <v>24</v>
          </cell>
          <cell r="Z13">
            <v>0</v>
          </cell>
          <cell r="AA13">
            <v>0</v>
          </cell>
          <cell r="AB13">
            <v>0</v>
          </cell>
          <cell r="AC13">
            <v>402874</v>
          </cell>
          <cell r="AD13">
            <v>387482</v>
          </cell>
          <cell r="AE13">
            <v>387482</v>
          </cell>
          <cell r="AF13">
            <v>337.4</v>
          </cell>
          <cell r="AG13">
            <v>356.7</v>
          </cell>
          <cell r="AH13">
            <v>374.8</v>
          </cell>
          <cell r="AI13">
            <v>365.1</v>
          </cell>
          <cell r="AJ13">
            <v>0</v>
          </cell>
          <cell r="AM13">
            <v>0</v>
          </cell>
          <cell r="AN13">
            <v>0</v>
          </cell>
          <cell r="AO13">
            <v>363.1</v>
          </cell>
          <cell r="AQ13">
            <v>0</v>
          </cell>
          <cell r="AT13">
            <v>0</v>
          </cell>
          <cell r="AU13">
            <v>0</v>
          </cell>
          <cell r="AV13">
            <v>3307081</v>
          </cell>
          <cell r="AW13">
            <v>0</v>
          </cell>
          <cell r="AX13">
            <v>0</v>
          </cell>
          <cell r="AY13">
            <v>0</v>
          </cell>
          <cell r="AZ13">
            <v>1</v>
          </cell>
          <cell r="BA13">
            <v>1</v>
          </cell>
          <cell r="BB13">
            <v>0</v>
          </cell>
          <cell r="BC13">
            <v>0</v>
          </cell>
          <cell r="BE13">
            <v>3550436</v>
          </cell>
          <cell r="BF13">
            <v>5062</v>
          </cell>
          <cell r="BG13">
            <v>4083</v>
          </cell>
          <cell r="BH13">
            <v>33</v>
          </cell>
          <cell r="BI13">
            <v>83474869</v>
          </cell>
          <cell r="BJ13">
            <v>78436691</v>
          </cell>
          <cell r="BL13">
            <v>78</v>
          </cell>
          <cell r="BM13">
            <v>128</v>
          </cell>
          <cell r="BN13">
            <v>135</v>
          </cell>
          <cell r="BO13">
            <v>42</v>
          </cell>
          <cell r="BP13">
            <v>23</v>
          </cell>
          <cell r="BQ13">
            <v>25</v>
          </cell>
        </row>
        <row r="14">
          <cell r="A14">
            <v>112</v>
          </cell>
          <cell r="B14" t="str">
            <v>112 - Central Plains</v>
          </cell>
          <cell r="C14" t="str">
            <v>Ellsworth</v>
          </cell>
          <cell r="D14">
            <v>121413676</v>
          </cell>
          <cell r="E14">
            <v>113535681</v>
          </cell>
          <cell r="F14">
            <v>123291046</v>
          </cell>
          <cell r="G14">
            <v>111143887</v>
          </cell>
          <cell r="H14">
            <v>476</v>
          </cell>
          <cell r="I14">
            <v>403</v>
          </cell>
          <cell r="J14">
            <v>582.79999999999995</v>
          </cell>
          <cell r="K14">
            <v>6964483</v>
          </cell>
          <cell r="L14">
            <v>924.9</v>
          </cell>
          <cell r="M14">
            <v>961.2</v>
          </cell>
          <cell r="N14">
            <v>891.2</v>
          </cell>
          <cell r="O14">
            <v>959.2</v>
          </cell>
          <cell r="P14">
            <v>542764</v>
          </cell>
          <cell r="Q14">
            <v>510724</v>
          </cell>
          <cell r="R14">
            <v>333480</v>
          </cell>
          <cell r="S14">
            <v>685976</v>
          </cell>
          <cell r="T14">
            <v>0</v>
          </cell>
          <cell r="U14">
            <v>0</v>
          </cell>
          <cell r="V14">
            <v>0</v>
          </cell>
          <cell r="W14">
            <v>0.04</v>
          </cell>
          <cell r="X14">
            <v>146</v>
          </cell>
          <cell r="Y14">
            <v>29</v>
          </cell>
          <cell r="Z14">
            <v>0.03</v>
          </cell>
          <cell r="AA14">
            <v>0</v>
          </cell>
          <cell r="AB14">
            <v>0.20610000000000001</v>
          </cell>
          <cell r="AC14">
            <v>462726</v>
          </cell>
          <cell r="AD14">
            <v>436210</v>
          </cell>
          <cell r="AE14">
            <v>436210</v>
          </cell>
          <cell r="AF14">
            <v>449.2</v>
          </cell>
          <cell r="AG14">
            <v>487.5</v>
          </cell>
          <cell r="AH14">
            <v>412.5</v>
          </cell>
          <cell r="AI14">
            <v>408</v>
          </cell>
          <cell r="AJ14">
            <v>0</v>
          </cell>
          <cell r="AM14">
            <v>0</v>
          </cell>
          <cell r="AN14">
            <v>0</v>
          </cell>
          <cell r="AO14">
            <v>402.5</v>
          </cell>
          <cell r="AQ14">
            <v>0</v>
          </cell>
          <cell r="AT14">
            <v>0</v>
          </cell>
          <cell r="AU14">
            <v>0</v>
          </cell>
          <cell r="AV14">
            <v>6252342</v>
          </cell>
          <cell r="AW14">
            <v>77490</v>
          </cell>
          <cell r="AX14">
            <v>0</v>
          </cell>
          <cell r="AY14">
            <v>336735</v>
          </cell>
          <cell r="AZ14">
            <v>1</v>
          </cell>
          <cell r="BA14">
            <v>1</v>
          </cell>
          <cell r="BB14">
            <v>0</v>
          </cell>
          <cell r="BC14">
            <v>0</v>
          </cell>
          <cell r="BE14">
            <v>6434996</v>
          </cell>
          <cell r="BF14">
            <v>2230</v>
          </cell>
          <cell r="BG14">
            <v>544</v>
          </cell>
          <cell r="BH14">
            <v>33</v>
          </cell>
          <cell r="BI14">
            <v>121413676</v>
          </cell>
          <cell r="BJ14">
            <v>122592147</v>
          </cell>
          <cell r="BL14">
            <v>158</v>
          </cell>
          <cell r="BM14">
            <v>210</v>
          </cell>
          <cell r="BN14">
            <v>169</v>
          </cell>
          <cell r="BO14">
            <v>56</v>
          </cell>
          <cell r="BP14">
            <v>43</v>
          </cell>
          <cell r="BQ14">
            <v>44</v>
          </cell>
        </row>
        <row r="15">
          <cell r="A15">
            <v>113</v>
          </cell>
          <cell r="B15" t="str">
            <v>113 - Prairie Hills</v>
          </cell>
          <cell r="C15" t="str">
            <v>Nemaha</v>
          </cell>
          <cell r="D15">
            <v>153262211</v>
          </cell>
          <cell r="E15">
            <v>141359193</v>
          </cell>
          <cell r="F15">
            <v>137771119</v>
          </cell>
          <cell r="G15">
            <v>120344404</v>
          </cell>
          <cell r="H15">
            <v>1033.0999999999999</v>
          </cell>
          <cell r="I15">
            <v>898.5</v>
          </cell>
          <cell r="J15">
            <v>411.9</v>
          </cell>
          <cell r="K15">
            <v>8322455</v>
          </cell>
          <cell r="L15">
            <v>1042.7</v>
          </cell>
          <cell r="M15">
            <v>1047.4000000000001</v>
          </cell>
          <cell r="N15">
            <v>908.5</v>
          </cell>
          <cell r="O15">
            <v>895.3</v>
          </cell>
          <cell r="P15">
            <v>621912</v>
          </cell>
          <cell r="Q15">
            <v>626072</v>
          </cell>
          <cell r="R15">
            <v>161005</v>
          </cell>
          <cell r="S15">
            <v>1100793</v>
          </cell>
          <cell r="T15">
            <v>8415</v>
          </cell>
          <cell r="U15">
            <v>9534</v>
          </cell>
          <cell r="V15">
            <v>0</v>
          </cell>
          <cell r="W15">
            <v>0</v>
          </cell>
          <cell r="X15">
            <v>235</v>
          </cell>
          <cell r="Y15">
            <v>99</v>
          </cell>
          <cell r="Z15">
            <v>0</v>
          </cell>
          <cell r="AA15">
            <v>0</v>
          </cell>
          <cell r="AB15">
            <v>4.5900000000000003E-2</v>
          </cell>
          <cell r="AC15">
            <v>922614</v>
          </cell>
          <cell r="AD15">
            <v>856365</v>
          </cell>
          <cell r="AE15">
            <v>856365</v>
          </cell>
          <cell r="AF15">
            <v>1041.7</v>
          </cell>
          <cell r="AG15">
            <v>1044.5999999999999</v>
          </cell>
          <cell r="AH15">
            <v>908.5</v>
          </cell>
          <cell r="AI15">
            <v>895.3</v>
          </cell>
          <cell r="AJ15">
            <v>0</v>
          </cell>
          <cell r="AM15">
            <v>0</v>
          </cell>
          <cell r="AN15">
            <v>0</v>
          </cell>
          <cell r="AO15">
            <v>883.8</v>
          </cell>
          <cell r="AQ15">
            <v>0</v>
          </cell>
          <cell r="AT15">
            <v>0</v>
          </cell>
          <cell r="AU15">
            <v>0</v>
          </cell>
          <cell r="AV15">
            <v>7617404</v>
          </cell>
          <cell r="AW15">
            <v>0</v>
          </cell>
          <cell r="AX15">
            <v>0</v>
          </cell>
          <cell r="AY15">
            <v>280978</v>
          </cell>
          <cell r="AZ15">
            <v>1</v>
          </cell>
          <cell r="BA15">
            <v>1</v>
          </cell>
          <cell r="BB15">
            <v>0</v>
          </cell>
          <cell r="BC15">
            <v>0</v>
          </cell>
          <cell r="BE15">
            <v>7694368</v>
          </cell>
          <cell r="BF15">
            <v>10820</v>
          </cell>
          <cell r="BG15">
            <v>7454</v>
          </cell>
          <cell r="BH15">
            <v>33</v>
          </cell>
          <cell r="BI15">
            <v>153833450</v>
          </cell>
          <cell r="BJ15">
            <v>136130799</v>
          </cell>
          <cell r="BL15">
            <v>256</v>
          </cell>
          <cell r="BM15">
            <v>305</v>
          </cell>
          <cell r="BN15">
            <v>243</v>
          </cell>
          <cell r="BO15">
            <v>117</v>
          </cell>
          <cell r="BP15">
            <v>71</v>
          </cell>
          <cell r="BQ15">
            <v>72</v>
          </cell>
        </row>
        <row r="16">
          <cell r="A16">
            <v>114</v>
          </cell>
          <cell r="B16" t="str">
            <v>114 - Riverside</v>
          </cell>
          <cell r="C16" t="str">
            <v>Doniphan</v>
          </cell>
          <cell r="D16">
            <v>46080144</v>
          </cell>
          <cell r="E16">
            <v>40300335</v>
          </cell>
          <cell r="F16">
            <v>46434384</v>
          </cell>
          <cell r="G16">
            <v>37336671</v>
          </cell>
          <cell r="H16">
            <v>594.70000000000005</v>
          </cell>
          <cell r="I16">
            <v>605.20000000000005</v>
          </cell>
          <cell r="J16">
            <v>88</v>
          </cell>
          <cell r="K16">
            <v>6259196</v>
          </cell>
          <cell r="L16">
            <v>586.20000000000005</v>
          </cell>
          <cell r="M16">
            <v>607.1</v>
          </cell>
          <cell r="N16">
            <v>617.79999999999995</v>
          </cell>
          <cell r="O16">
            <v>596.20000000000005</v>
          </cell>
          <cell r="P16">
            <v>645059</v>
          </cell>
          <cell r="Q16">
            <v>618572</v>
          </cell>
          <cell r="R16">
            <v>1093686</v>
          </cell>
          <cell r="S16">
            <v>631555</v>
          </cell>
          <cell r="T16">
            <v>5642</v>
          </cell>
          <cell r="U16">
            <v>10899</v>
          </cell>
          <cell r="V16">
            <v>0.1</v>
          </cell>
          <cell r="W16">
            <v>0.49</v>
          </cell>
          <cell r="X16">
            <v>269</v>
          </cell>
          <cell r="Y16">
            <v>74</v>
          </cell>
          <cell r="Z16">
            <v>0.56000000000000005</v>
          </cell>
          <cell r="AA16">
            <v>0.01</v>
          </cell>
          <cell r="AB16">
            <v>0.53620000000000001</v>
          </cell>
          <cell r="AC16">
            <v>621500</v>
          </cell>
          <cell r="AD16">
            <v>585660</v>
          </cell>
          <cell r="AE16">
            <v>585660</v>
          </cell>
          <cell r="AF16">
            <v>585</v>
          </cell>
          <cell r="AG16">
            <v>602.70000000000005</v>
          </cell>
          <cell r="AH16">
            <v>614.20000000000005</v>
          </cell>
          <cell r="AI16">
            <v>595.70000000000005</v>
          </cell>
          <cell r="AJ16">
            <v>0</v>
          </cell>
          <cell r="AM16">
            <v>15</v>
          </cell>
          <cell r="AN16">
            <v>0</v>
          </cell>
          <cell r="AO16">
            <v>584.20000000000005</v>
          </cell>
          <cell r="AQ16">
            <v>0</v>
          </cell>
          <cell r="AT16">
            <v>0</v>
          </cell>
          <cell r="AU16">
            <v>0</v>
          </cell>
          <cell r="AV16">
            <v>5328302</v>
          </cell>
          <cell r="AW16">
            <v>79594</v>
          </cell>
          <cell r="AX16">
            <v>92481</v>
          </cell>
          <cell r="AY16">
            <v>1002044</v>
          </cell>
          <cell r="AZ16">
            <v>1</v>
          </cell>
          <cell r="BA16">
            <v>1</v>
          </cell>
          <cell r="BB16">
            <v>0</v>
          </cell>
          <cell r="BC16">
            <v>0</v>
          </cell>
          <cell r="BE16">
            <v>5640624</v>
          </cell>
          <cell r="BF16">
            <v>5902</v>
          </cell>
          <cell r="BG16">
            <v>2101</v>
          </cell>
          <cell r="BH16">
            <v>33</v>
          </cell>
          <cell r="BI16">
            <v>50296402</v>
          </cell>
          <cell r="BJ16">
            <v>49402125</v>
          </cell>
          <cell r="BL16">
            <v>173</v>
          </cell>
          <cell r="BM16">
            <v>279</v>
          </cell>
          <cell r="BN16">
            <v>280</v>
          </cell>
          <cell r="BO16">
            <v>63</v>
          </cell>
          <cell r="BP16">
            <v>76</v>
          </cell>
          <cell r="BQ16">
            <v>65</v>
          </cell>
        </row>
        <row r="17">
          <cell r="A17">
            <v>115</v>
          </cell>
          <cell r="B17" t="str">
            <v>115 - Nemaha Central</v>
          </cell>
          <cell r="C17" t="str">
            <v>Nemaha</v>
          </cell>
          <cell r="D17">
            <v>111035847</v>
          </cell>
          <cell r="E17">
            <v>103041049</v>
          </cell>
          <cell r="F17">
            <v>112112562</v>
          </cell>
          <cell r="G17">
            <v>98555745</v>
          </cell>
          <cell r="H17">
            <v>692</v>
          </cell>
          <cell r="I17">
            <v>662.8</v>
          </cell>
          <cell r="J17">
            <v>222</v>
          </cell>
          <cell r="K17">
            <v>6609024</v>
          </cell>
          <cell r="L17">
            <v>653.5</v>
          </cell>
          <cell r="M17">
            <v>711.5</v>
          </cell>
          <cell r="N17">
            <v>681.8</v>
          </cell>
          <cell r="O17">
            <v>671.2</v>
          </cell>
          <cell r="P17">
            <v>598593</v>
          </cell>
          <cell r="Q17">
            <v>665792</v>
          </cell>
          <cell r="R17">
            <v>66680</v>
          </cell>
          <cell r="S17">
            <v>577233</v>
          </cell>
          <cell r="T17">
            <v>0</v>
          </cell>
          <cell r="U17">
            <v>0</v>
          </cell>
          <cell r="V17">
            <v>0</v>
          </cell>
          <cell r="W17">
            <v>0</v>
          </cell>
          <cell r="X17">
            <v>174</v>
          </cell>
          <cell r="Y17">
            <v>42</v>
          </cell>
          <cell r="Z17">
            <v>0</v>
          </cell>
          <cell r="AA17">
            <v>0</v>
          </cell>
          <cell r="AB17">
            <v>2.8299999999999999E-2</v>
          </cell>
          <cell r="AC17">
            <v>833698</v>
          </cell>
          <cell r="AD17">
            <v>820512</v>
          </cell>
          <cell r="AE17">
            <v>820512</v>
          </cell>
          <cell r="AF17">
            <v>653.5</v>
          </cell>
          <cell r="AG17">
            <v>711.5</v>
          </cell>
          <cell r="AH17">
            <v>681.8</v>
          </cell>
          <cell r="AI17">
            <v>671.2</v>
          </cell>
          <cell r="AJ17">
            <v>0</v>
          </cell>
          <cell r="AM17">
            <v>1</v>
          </cell>
          <cell r="AN17">
            <v>0</v>
          </cell>
          <cell r="AO17">
            <v>649.20000000000005</v>
          </cell>
          <cell r="AQ17">
            <v>0</v>
          </cell>
          <cell r="AT17">
            <v>0</v>
          </cell>
          <cell r="AU17">
            <v>0</v>
          </cell>
          <cell r="AV17">
            <v>5696281</v>
          </cell>
          <cell r="AW17">
            <v>0</v>
          </cell>
          <cell r="AX17">
            <v>0</v>
          </cell>
          <cell r="AY17">
            <v>6520</v>
          </cell>
          <cell r="AZ17">
            <v>1</v>
          </cell>
          <cell r="BA17">
            <v>1</v>
          </cell>
          <cell r="BB17">
            <v>0</v>
          </cell>
          <cell r="BC17">
            <v>0</v>
          </cell>
          <cell r="BE17">
            <v>5943232</v>
          </cell>
          <cell r="BF17">
            <v>928</v>
          </cell>
          <cell r="BG17">
            <v>2761</v>
          </cell>
          <cell r="BH17">
            <v>33</v>
          </cell>
          <cell r="BI17">
            <v>111035847</v>
          </cell>
          <cell r="BJ17">
            <v>107841591</v>
          </cell>
          <cell r="BL17">
            <v>123</v>
          </cell>
          <cell r="BM17">
            <v>170</v>
          </cell>
          <cell r="BN17">
            <v>172</v>
          </cell>
          <cell r="BO17">
            <v>62</v>
          </cell>
          <cell r="BP17">
            <v>33</v>
          </cell>
          <cell r="BQ17">
            <v>55</v>
          </cell>
        </row>
        <row r="18">
          <cell r="A18">
            <v>200</v>
          </cell>
          <cell r="B18" t="str">
            <v>200 - Greeley County Schools</v>
          </cell>
          <cell r="C18" t="str">
            <v>Greeley</v>
          </cell>
          <cell r="D18">
            <v>33111924</v>
          </cell>
          <cell r="E18">
            <v>30600949</v>
          </cell>
          <cell r="F18">
            <v>30154042</v>
          </cell>
          <cell r="G18">
            <v>26291217</v>
          </cell>
          <cell r="H18">
            <v>224</v>
          </cell>
          <cell r="I18">
            <v>223.4</v>
          </cell>
          <cell r="J18">
            <v>780</v>
          </cell>
          <cell r="K18">
            <v>2734175</v>
          </cell>
          <cell r="L18">
            <v>239</v>
          </cell>
          <cell r="M18">
            <v>227</v>
          </cell>
          <cell r="N18">
            <v>225.9</v>
          </cell>
          <cell r="O18">
            <v>233.6</v>
          </cell>
          <cell r="P18">
            <v>159676</v>
          </cell>
          <cell r="Q18">
            <v>172603</v>
          </cell>
          <cell r="R18">
            <v>43527</v>
          </cell>
          <cell r="S18">
            <v>165851</v>
          </cell>
          <cell r="T18">
            <v>0</v>
          </cell>
          <cell r="U18">
            <v>0</v>
          </cell>
          <cell r="V18">
            <v>0</v>
          </cell>
          <cell r="W18">
            <v>0.03</v>
          </cell>
          <cell r="X18">
            <v>98</v>
          </cell>
          <cell r="Y18">
            <v>20</v>
          </cell>
          <cell r="Z18">
            <v>0.02</v>
          </cell>
          <cell r="AA18">
            <v>0</v>
          </cell>
          <cell r="AB18">
            <v>0.11459999999999999</v>
          </cell>
          <cell r="AC18">
            <v>261041</v>
          </cell>
          <cell r="AD18">
            <v>241984</v>
          </cell>
          <cell r="AE18">
            <v>241984</v>
          </cell>
          <cell r="AF18">
            <v>239</v>
          </cell>
          <cell r="AG18">
            <v>227</v>
          </cell>
          <cell r="AH18">
            <v>225.9</v>
          </cell>
          <cell r="AI18">
            <v>233.6</v>
          </cell>
          <cell r="AJ18">
            <v>0</v>
          </cell>
          <cell r="AM18">
            <v>2</v>
          </cell>
          <cell r="AN18">
            <v>0</v>
          </cell>
          <cell r="AO18">
            <v>230.1</v>
          </cell>
          <cell r="AQ18">
            <v>0</v>
          </cell>
          <cell r="AT18">
            <v>0</v>
          </cell>
          <cell r="AU18">
            <v>0</v>
          </cell>
          <cell r="AV18">
            <v>2374506</v>
          </cell>
          <cell r="AW18">
            <v>0</v>
          </cell>
          <cell r="AX18">
            <v>0</v>
          </cell>
          <cell r="AY18">
            <v>0</v>
          </cell>
          <cell r="AZ18">
            <v>1</v>
          </cell>
          <cell r="BA18">
            <v>1</v>
          </cell>
          <cell r="BB18">
            <v>0</v>
          </cell>
          <cell r="BC18">
            <v>0</v>
          </cell>
          <cell r="BE18">
            <v>2554161</v>
          </cell>
          <cell r="BF18">
            <v>0</v>
          </cell>
          <cell r="BG18">
            <v>0</v>
          </cell>
          <cell r="BH18">
            <v>32.5</v>
          </cell>
          <cell r="BI18">
            <v>33111924</v>
          </cell>
          <cell r="BJ18">
            <v>30067760</v>
          </cell>
          <cell r="BL18">
            <v>89</v>
          </cell>
          <cell r="BM18">
            <v>84</v>
          </cell>
          <cell r="BN18">
            <v>79</v>
          </cell>
          <cell r="BO18">
            <v>35</v>
          </cell>
          <cell r="BP18">
            <v>32</v>
          </cell>
          <cell r="BQ18">
            <v>37</v>
          </cell>
        </row>
        <row r="19">
          <cell r="A19">
            <v>202</v>
          </cell>
          <cell r="B19" t="str">
            <v>202 - Turner-Kansas City</v>
          </cell>
          <cell r="C19" t="str">
            <v>Wyandotte</v>
          </cell>
          <cell r="D19">
            <v>223056906</v>
          </cell>
          <cell r="E19">
            <v>192608992</v>
          </cell>
          <cell r="F19">
            <v>254081136</v>
          </cell>
          <cell r="G19">
            <v>200292531</v>
          </cell>
          <cell r="H19">
            <v>3617.6</v>
          </cell>
          <cell r="I19">
            <v>3616.5</v>
          </cell>
          <cell r="J19">
            <v>17</v>
          </cell>
          <cell r="K19">
            <v>35611395</v>
          </cell>
          <cell r="L19">
            <v>3791</v>
          </cell>
          <cell r="M19">
            <v>3730.8</v>
          </cell>
          <cell r="N19">
            <v>3720.1</v>
          </cell>
          <cell r="O19">
            <v>3750</v>
          </cell>
          <cell r="P19">
            <v>3251883</v>
          </cell>
          <cell r="Q19">
            <v>3883576</v>
          </cell>
          <cell r="R19">
            <v>7712196</v>
          </cell>
          <cell r="S19">
            <v>3234002</v>
          </cell>
          <cell r="T19">
            <v>4307</v>
          </cell>
          <cell r="U19">
            <v>4684</v>
          </cell>
          <cell r="V19">
            <v>0.18</v>
          </cell>
          <cell r="W19">
            <v>0.56000000000000005</v>
          </cell>
          <cell r="X19">
            <v>2742</v>
          </cell>
          <cell r="Y19">
            <v>327</v>
          </cell>
          <cell r="Z19">
            <v>0.64</v>
          </cell>
          <cell r="AA19">
            <v>0.09</v>
          </cell>
          <cell r="AB19">
            <v>0.63249999999999995</v>
          </cell>
          <cell r="AC19">
            <v>4216267</v>
          </cell>
          <cell r="AD19">
            <v>4296700</v>
          </cell>
          <cell r="AE19">
            <v>4296700</v>
          </cell>
          <cell r="AF19">
            <v>3766.6</v>
          </cell>
          <cell r="AG19">
            <v>3711.6</v>
          </cell>
          <cell r="AH19">
            <v>3695</v>
          </cell>
          <cell r="AI19">
            <v>3730.3</v>
          </cell>
          <cell r="AJ19">
            <v>0</v>
          </cell>
          <cell r="AM19">
            <v>0</v>
          </cell>
          <cell r="AN19">
            <v>0</v>
          </cell>
          <cell r="AO19">
            <v>3648.3</v>
          </cell>
          <cell r="AQ19">
            <v>0</v>
          </cell>
          <cell r="AT19">
            <v>0</v>
          </cell>
          <cell r="AU19">
            <v>0</v>
          </cell>
          <cell r="AV19">
            <v>29989974</v>
          </cell>
          <cell r="AW19">
            <v>1420892</v>
          </cell>
          <cell r="AX19">
            <v>1489219</v>
          </cell>
          <cell r="AY19">
            <v>7214509</v>
          </cell>
          <cell r="AZ19">
            <v>1</v>
          </cell>
          <cell r="BA19">
            <v>1</v>
          </cell>
          <cell r="BB19">
            <v>121182</v>
          </cell>
          <cell r="BC19">
            <v>115370</v>
          </cell>
          <cell r="BE19">
            <v>31727819</v>
          </cell>
          <cell r="BF19">
            <v>1464</v>
          </cell>
          <cell r="BG19">
            <v>3139</v>
          </cell>
          <cell r="BH19">
            <v>33</v>
          </cell>
          <cell r="BI19">
            <v>253730805</v>
          </cell>
          <cell r="BJ19">
            <v>286388272</v>
          </cell>
          <cell r="BL19">
            <v>2050</v>
          </cell>
          <cell r="BM19">
            <v>2444</v>
          </cell>
          <cell r="BN19">
            <v>2683</v>
          </cell>
          <cell r="BO19">
            <v>540</v>
          </cell>
          <cell r="BP19">
            <v>373</v>
          </cell>
          <cell r="BQ19">
            <v>358</v>
          </cell>
        </row>
        <row r="20">
          <cell r="A20">
            <v>203</v>
          </cell>
          <cell r="B20" t="str">
            <v>203 - Piper-Kansas City</v>
          </cell>
          <cell r="C20" t="str">
            <v>Wyandotte</v>
          </cell>
          <cell r="D20">
            <v>324748461</v>
          </cell>
          <cell r="E20">
            <v>301529735</v>
          </cell>
          <cell r="F20">
            <v>348367474</v>
          </cell>
          <cell r="G20">
            <v>306701312</v>
          </cell>
          <cell r="H20">
            <v>2638</v>
          </cell>
          <cell r="I20">
            <v>2651.9</v>
          </cell>
          <cell r="J20">
            <v>31.4</v>
          </cell>
          <cell r="K20">
            <v>24073946</v>
          </cell>
          <cell r="L20">
            <v>2525.9</v>
          </cell>
          <cell r="M20">
            <v>2668.4</v>
          </cell>
          <cell r="N20">
            <v>2685.5</v>
          </cell>
          <cell r="O20">
            <v>2734</v>
          </cell>
          <cell r="P20">
            <v>3395297</v>
          </cell>
          <cell r="Q20">
            <v>4403580</v>
          </cell>
          <cell r="R20">
            <v>2609594</v>
          </cell>
          <cell r="S20">
            <v>1285790</v>
          </cell>
          <cell r="T20">
            <v>0</v>
          </cell>
          <cell r="U20">
            <v>0</v>
          </cell>
          <cell r="V20">
            <v>0</v>
          </cell>
          <cell r="W20">
            <v>0.05</v>
          </cell>
          <cell r="X20">
            <v>620</v>
          </cell>
          <cell r="Y20">
            <v>178</v>
          </cell>
          <cell r="Z20">
            <v>0.04</v>
          </cell>
          <cell r="AA20">
            <v>0</v>
          </cell>
          <cell r="AB20">
            <v>0.27229999999999999</v>
          </cell>
          <cell r="AC20">
            <v>2547450</v>
          </cell>
          <cell r="AD20">
            <v>2523858</v>
          </cell>
          <cell r="AE20">
            <v>2523858</v>
          </cell>
          <cell r="AF20">
            <v>2498.5</v>
          </cell>
          <cell r="AG20">
            <v>2644.5</v>
          </cell>
          <cell r="AH20">
            <v>2672.4</v>
          </cell>
          <cell r="AI20">
            <v>2733</v>
          </cell>
          <cell r="AJ20">
            <v>4.8599999999999997E-2</v>
          </cell>
          <cell r="AM20">
            <v>48</v>
          </cell>
          <cell r="AN20">
            <v>0</v>
          </cell>
          <cell r="AO20">
            <v>2712.5</v>
          </cell>
          <cell r="AQ20">
            <v>0</v>
          </cell>
          <cell r="AT20">
            <v>0</v>
          </cell>
          <cell r="AU20">
            <v>0</v>
          </cell>
          <cell r="AV20">
            <v>17567341</v>
          </cell>
          <cell r="AW20">
            <v>532572</v>
          </cell>
          <cell r="AX20">
            <v>390172</v>
          </cell>
          <cell r="AY20">
            <v>2443125</v>
          </cell>
          <cell r="AZ20">
            <v>1</v>
          </cell>
          <cell r="BA20">
            <v>1</v>
          </cell>
          <cell r="BB20">
            <v>0</v>
          </cell>
          <cell r="BC20">
            <v>0</v>
          </cell>
          <cell r="BE20">
            <v>19640407</v>
          </cell>
          <cell r="BF20">
            <v>10480</v>
          </cell>
          <cell r="BG20">
            <v>10529</v>
          </cell>
          <cell r="BH20">
            <v>33</v>
          </cell>
          <cell r="BI20">
            <v>317007321</v>
          </cell>
          <cell r="BJ20">
            <v>348367474</v>
          </cell>
          <cell r="BL20">
            <v>242</v>
          </cell>
          <cell r="BM20">
            <v>529</v>
          </cell>
          <cell r="BN20">
            <v>598</v>
          </cell>
          <cell r="BO20">
            <v>166</v>
          </cell>
          <cell r="BP20">
            <v>185</v>
          </cell>
          <cell r="BQ20">
            <v>166</v>
          </cell>
        </row>
        <row r="21">
          <cell r="A21">
            <v>204</v>
          </cell>
          <cell r="B21" t="str">
            <v>204 - Bonner Springs</v>
          </cell>
          <cell r="C21" t="str">
            <v>Wyandotte</v>
          </cell>
          <cell r="D21">
            <v>290962090</v>
          </cell>
          <cell r="E21">
            <v>267066584</v>
          </cell>
          <cell r="F21">
            <v>321364160</v>
          </cell>
          <cell r="G21">
            <v>279996584</v>
          </cell>
          <cell r="H21">
            <v>2346</v>
          </cell>
          <cell r="I21">
            <v>2383.4</v>
          </cell>
          <cell r="J21">
            <v>38</v>
          </cell>
          <cell r="K21">
            <v>22293207</v>
          </cell>
          <cell r="L21">
            <v>2451.9</v>
          </cell>
          <cell r="M21">
            <v>2415.6</v>
          </cell>
          <cell r="N21">
            <v>2449.6999999999998</v>
          </cell>
          <cell r="O21">
            <v>2451.8000000000002</v>
          </cell>
          <cell r="P21">
            <v>3163684</v>
          </cell>
          <cell r="Q21">
            <v>3727512</v>
          </cell>
          <cell r="R21">
            <v>2347678</v>
          </cell>
          <cell r="S21">
            <v>2016420</v>
          </cell>
          <cell r="T21">
            <v>7393</v>
          </cell>
          <cell r="U21">
            <v>11248</v>
          </cell>
          <cell r="V21">
            <v>0</v>
          </cell>
          <cell r="W21">
            <v>0</v>
          </cell>
          <cell r="X21">
            <v>1222</v>
          </cell>
          <cell r="Y21">
            <v>274</v>
          </cell>
          <cell r="Z21">
            <v>0.01</v>
          </cell>
          <cell r="AA21">
            <v>0</v>
          </cell>
          <cell r="AB21">
            <v>0.2581</v>
          </cell>
          <cell r="AC21">
            <v>3073497</v>
          </cell>
          <cell r="AD21">
            <v>2928120</v>
          </cell>
          <cell r="AE21">
            <v>2928120</v>
          </cell>
          <cell r="AF21">
            <v>2426</v>
          </cell>
          <cell r="AG21">
            <v>2364</v>
          </cell>
          <cell r="AH21">
            <v>2398.9</v>
          </cell>
          <cell r="AI21">
            <v>2376.3000000000002</v>
          </cell>
          <cell r="AJ21">
            <v>8.9999999999999993E-3</v>
          </cell>
          <cell r="AM21">
            <v>0</v>
          </cell>
          <cell r="AN21">
            <v>0</v>
          </cell>
          <cell r="AO21">
            <v>2351.3000000000002</v>
          </cell>
          <cell r="AQ21">
            <v>0</v>
          </cell>
          <cell r="AT21">
            <v>0</v>
          </cell>
          <cell r="AU21">
            <v>0</v>
          </cell>
          <cell r="AV21">
            <v>17401516</v>
          </cell>
          <cell r="AW21">
            <v>398594</v>
          </cell>
          <cell r="AX21">
            <v>0</v>
          </cell>
          <cell r="AY21">
            <v>2466498</v>
          </cell>
          <cell r="AZ21">
            <v>1</v>
          </cell>
          <cell r="BA21">
            <v>1</v>
          </cell>
          <cell r="BB21">
            <v>22010</v>
          </cell>
          <cell r="BC21">
            <v>22490</v>
          </cell>
          <cell r="BE21">
            <v>18565695</v>
          </cell>
          <cell r="BF21">
            <v>14645</v>
          </cell>
          <cell r="BG21">
            <v>3753</v>
          </cell>
          <cell r="BH21">
            <v>33</v>
          </cell>
          <cell r="BI21">
            <v>332202889</v>
          </cell>
          <cell r="BJ21">
            <v>370478208</v>
          </cell>
          <cell r="BL21">
            <v>869</v>
          </cell>
          <cell r="BM21">
            <v>1088</v>
          </cell>
          <cell r="BN21">
            <v>1190</v>
          </cell>
          <cell r="BO21">
            <v>362</v>
          </cell>
          <cell r="BP21">
            <v>211</v>
          </cell>
          <cell r="BQ21">
            <v>250</v>
          </cell>
        </row>
        <row r="22">
          <cell r="A22">
            <v>205</v>
          </cell>
          <cell r="B22" t="str">
            <v>205 - Bluestem</v>
          </cell>
          <cell r="C22" t="str">
            <v>Butler</v>
          </cell>
          <cell r="D22">
            <v>56390778</v>
          </cell>
          <cell r="E22">
            <v>48891036</v>
          </cell>
          <cell r="F22">
            <v>59270246</v>
          </cell>
          <cell r="G22">
            <v>46589343</v>
          </cell>
          <cell r="H22">
            <v>500.6</v>
          </cell>
          <cell r="I22">
            <v>492.9</v>
          </cell>
          <cell r="J22">
            <v>348.6</v>
          </cell>
          <cell r="K22">
            <v>5497929</v>
          </cell>
          <cell r="L22">
            <v>505</v>
          </cell>
          <cell r="M22">
            <v>508.6</v>
          </cell>
          <cell r="N22">
            <v>502.4</v>
          </cell>
          <cell r="O22">
            <v>484.9</v>
          </cell>
          <cell r="P22">
            <v>559437</v>
          </cell>
          <cell r="Q22">
            <v>564842</v>
          </cell>
          <cell r="R22">
            <v>664795</v>
          </cell>
          <cell r="S22">
            <v>606474</v>
          </cell>
          <cell r="T22">
            <v>9814</v>
          </cell>
          <cell r="U22">
            <v>26381</v>
          </cell>
          <cell r="V22">
            <v>0</v>
          </cell>
          <cell r="W22">
            <v>0.1</v>
          </cell>
          <cell r="X22">
            <v>212</v>
          </cell>
          <cell r="Y22">
            <v>14</v>
          </cell>
          <cell r="Z22">
            <v>0.09</v>
          </cell>
          <cell r="AA22">
            <v>0</v>
          </cell>
          <cell r="AB22">
            <v>0.31030000000000002</v>
          </cell>
          <cell r="AC22">
            <v>546752</v>
          </cell>
          <cell r="AD22">
            <v>516461</v>
          </cell>
          <cell r="AE22">
            <v>516461</v>
          </cell>
          <cell r="AF22">
            <v>505</v>
          </cell>
          <cell r="AG22">
            <v>508.6</v>
          </cell>
          <cell r="AH22">
            <v>502.4</v>
          </cell>
          <cell r="AI22">
            <v>484.9</v>
          </cell>
          <cell r="AJ22">
            <v>0</v>
          </cell>
          <cell r="AM22">
            <v>2</v>
          </cell>
          <cell r="AN22">
            <v>0</v>
          </cell>
          <cell r="AO22">
            <v>471.9</v>
          </cell>
          <cell r="AQ22">
            <v>0</v>
          </cell>
          <cell r="AT22">
            <v>0</v>
          </cell>
          <cell r="AU22">
            <v>0</v>
          </cell>
          <cell r="AV22">
            <v>4605688</v>
          </cell>
          <cell r="AW22">
            <v>126166</v>
          </cell>
          <cell r="AX22">
            <v>90328</v>
          </cell>
          <cell r="AY22">
            <v>680799</v>
          </cell>
          <cell r="AZ22">
            <v>1</v>
          </cell>
          <cell r="BA22">
            <v>1</v>
          </cell>
          <cell r="BB22">
            <v>0</v>
          </cell>
          <cell r="BC22">
            <v>0</v>
          </cell>
          <cell r="BE22">
            <v>4929594</v>
          </cell>
          <cell r="BF22">
            <v>2677</v>
          </cell>
          <cell r="BG22">
            <v>2695</v>
          </cell>
          <cell r="BH22">
            <v>33</v>
          </cell>
          <cell r="BI22">
            <v>56390778</v>
          </cell>
          <cell r="BJ22">
            <v>59270246</v>
          </cell>
          <cell r="BL22">
            <v>162</v>
          </cell>
          <cell r="BM22">
            <v>204</v>
          </cell>
          <cell r="BN22">
            <v>181</v>
          </cell>
          <cell r="BO22">
            <v>78</v>
          </cell>
          <cell r="BP22">
            <v>55</v>
          </cell>
          <cell r="BQ22">
            <v>50</v>
          </cell>
        </row>
        <row r="23">
          <cell r="A23">
            <v>206</v>
          </cell>
          <cell r="B23" t="str">
            <v>206 - Remington-Whitewater</v>
          </cell>
          <cell r="C23" t="str">
            <v>Butler</v>
          </cell>
          <cell r="D23">
            <v>73670037</v>
          </cell>
          <cell r="E23">
            <v>67168503</v>
          </cell>
          <cell r="F23">
            <v>75448647</v>
          </cell>
          <cell r="G23">
            <v>64454180</v>
          </cell>
          <cell r="H23">
            <v>457.5</v>
          </cell>
          <cell r="I23">
            <v>482.6</v>
          </cell>
          <cell r="J23">
            <v>253</v>
          </cell>
          <cell r="K23">
            <v>5410710</v>
          </cell>
          <cell r="L23">
            <v>468</v>
          </cell>
          <cell r="M23">
            <v>460</v>
          </cell>
          <cell r="N23">
            <v>488.1</v>
          </cell>
          <cell r="O23">
            <v>519.5</v>
          </cell>
          <cell r="P23">
            <v>510538</v>
          </cell>
          <cell r="Q23">
            <v>557635</v>
          </cell>
          <cell r="R23">
            <v>75143</v>
          </cell>
          <cell r="S23">
            <v>531708</v>
          </cell>
          <cell r="T23">
            <v>0</v>
          </cell>
          <cell r="U23">
            <v>0</v>
          </cell>
          <cell r="V23">
            <v>0</v>
          </cell>
          <cell r="W23">
            <v>0</v>
          </cell>
          <cell r="X23">
            <v>179</v>
          </cell>
          <cell r="Y23">
            <v>43</v>
          </cell>
          <cell r="Z23">
            <v>0</v>
          </cell>
          <cell r="AA23">
            <v>0</v>
          </cell>
          <cell r="AB23">
            <v>6.2199999999999998E-2</v>
          </cell>
          <cell r="AC23">
            <v>499146</v>
          </cell>
          <cell r="AD23">
            <v>463318</v>
          </cell>
          <cell r="AE23">
            <v>463318</v>
          </cell>
          <cell r="AF23">
            <v>468</v>
          </cell>
          <cell r="AG23">
            <v>460</v>
          </cell>
          <cell r="AH23">
            <v>488.1</v>
          </cell>
          <cell r="AI23">
            <v>519.5</v>
          </cell>
          <cell r="AJ23">
            <v>0</v>
          </cell>
          <cell r="AM23">
            <v>2</v>
          </cell>
          <cell r="AN23">
            <v>0</v>
          </cell>
          <cell r="AO23">
            <v>515</v>
          </cell>
          <cell r="AQ23">
            <v>0</v>
          </cell>
          <cell r="AT23">
            <v>0</v>
          </cell>
          <cell r="AU23">
            <v>0</v>
          </cell>
          <cell r="AV23">
            <v>4251326</v>
          </cell>
          <cell r="AW23">
            <v>0</v>
          </cell>
          <cell r="AX23">
            <v>0</v>
          </cell>
          <cell r="AY23">
            <v>80082</v>
          </cell>
          <cell r="AZ23">
            <v>1</v>
          </cell>
          <cell r="BA23">
            <v>1</v>
          </cell>
          <cell r="BB23">
            <v>0</v>
          </cell>
          <cell r="BC23">
            <v>0</v>
          </cell>
          <cell r="BE23">
            <v>4850616</v>
          </cell>
          <cell r="BF23">
            <v>2097</v>
          </cell>
          <cell r="BG23">
            <v>1682</v>
          </cell>
          <cell r="BH23">
            <v>33</v>
          </cell>
          <cell r="BI23">
            <v>73670037</v>
          </cell>
          <cell r="BJ23">
            <v>75448647</v>
          </cell>
          <cell r="BL23">
            <v>119</v>
          </cell>
          <cell r="BM23">
            <v>129</v>
          </cell>
          <cell r="BN23">
            <v>175</v>
          </cell>
          <cell r="BO23">
            <v>61</v>
          </cell>
          <cell r="BP23">
            <v>56</v>
          </cell>
          <cell r="BQ23">
            <v>36</v>
          </cell>
        </row>
        <row r="24">
          <cell r="A24">
            <v>207</v>
          </cell>
          <cell r="B24" t="str">
            <v>207 - Fort Leavenworth</v>
          </cell>
          <cell r="C24" t="str">
            <v>Leavenworth</v>
          </cell>
          <cell r="D24">
            <v>1655750</v>
          </cell>
          <cell r="E24">
            <v>1655750</v>
          </cell>
          <cell r="F24">
            <v>1674414</v>
          </cell>
          <cell r="G24">
            <v>1674414</v>
          </cell>
          <cell r="H24">
            <v>1519.1</v>
          </cell>
          <cell r="I24">
            <v>1449</v>
          </cell>
          <cell r="J24">
            <v>8.5</v>
          </cell>
          <cell r="K24">
            <v>11106646</v>
          </cell>
          <cell r="L24">
            <v>1454.7</v>
          </cell>
          <cell r="M24">
            <v>1575.6</v>
          </cell>
          <cell r="N24">
            <v>1491</v>
          </cell>
          <cell r="O24">
            <v>1405.7</v>
          </cell>
          <cell r="P24">
            <v>1247083</v>
          </cell>
          <cell r="Q24">
            <v>1914463</v>
          </cell>
          <cell r="R24">
            <v>3665156</v>
          </cell>
          <cell r="S24">
            <v>1239600</v>
          </cell>
          <cell r="T24">
            <v>0</v>
          </cell>
          <cell r="U24">
            <v>0</v>
          </cell>
          <cell r="V24">
            <v>1</v>
          </cell>
          <cell r="W24">
            <v>1</v>
          </cell>
          <cell r="X24">
            <v>68</v>
          </cell>
          <cell r="Y24">
            <v>52</v>
          </cell>
          <cell r="Z24">
            <v>1</v>
          </cell>
          <cell r="AA24">
            <v>0.75</v>
          </cell>
          <cell r="AB24">
            <v>0.9929</v>
          </cell>
          <cell r="AC24">
            <v>1887800</v>
          </cell>
          <cell r="AD24">
            <v>1912930</v>
          </cell>
          <cell r="AE24">
            <v>1912930</v>
          </cell>
          <cell r="AF24">
            <v>1453.7</v>
          </cell>
          <cell r="AG24">
            <v>1575.6</v>
          </cell>
          <cell r="AH24">
            <v>1491</v>
          </cell>
          <cell r="AI24">
            <v>1405.7</v>
          </cell>
          <cell r="AJ24">
            <v>0</v>
          </cell>
          <cell r="AM24">
            <v>2828</v>
          </cell>
          <cell r="AN24">
            <v>1</v>
          </cell>
          <cell r="AO24">
            <v>1379.7</v>
          </cell>
          <cell r="AQ24">
            <v>56.5</v>
          </cell>
          <cell r="AT24">
            <v>42</v>
          </cell>
          <cell r="AU24">
            <v>26</v>
          </cell>
          <cell r="AV24">
            <v>8778144</v>
          </cell>
          <cell r="AW24">
            <v>6623</v>
          </cell>
          <cell r="AX24">
            <v>1356</v>
          </cell>
          <cell r="AY24">
            <v>3320783</v>
          </cell>
          <cell r="AZ24">
            <v>1</v>
          </cell>
          <cell r="BA24">
            <v>1</v>
          </cell>
          <cell r="BB24">
            <v>0</v>
          </cell>
          <cell r="BC24">
            <v>0</v>
          </cell>
          <cell r="BE24">
            <v>9192183</v>
          </cell>
          <cell r="BF24">
            <v>13352</v>
          </cell>
          <cell r="BG24">
            <v>4759</v>
          </cell>
          <cell r="BH24">
            <v>33</v>
          </cell>
          <cell r="BI24">
            <v>1655750</v>
          </cell>
          <cell r="BJ24">
            <v>1674414</v>
          </cell>
          <cell r="BL24">
            <v>3</v>
          </cell>
          <cell r="BM24">
            <v>34</v>
          </cell>
          <cell r="BN24">
            <v>60</v>
          </cell>
          <cell r="BO24">
            <v>24</v>
          </cell>
          <cell r="BP24">
            <v>44</v>
          </cell>
          <cell r="BQ24">
            <v>53</v>
          </cell>
        </row>
        <row r="25">
          <cell r="A25">
            <v>208</v>
          </cell>
          <cell r="B25" t="str">
            <v>208 - Wakeeney</v>
          </cell>
          <cell r="C25" t="str">
            <v>Trego</v>
          </cell>
          <cell r="D25">
            <v>65661520</v>
          </cell>
          <cell r="E25">
            <v>59265558</v>
          </cell>
          <cell r="F25">
            <v>65382306</v>
          </cell>
          <cell r="G25">
            <v>55477723</v>
          </cell>
          <cell r="H25">
            <v>365.8</v>
          </cell>
          <cell r="I25">
            <v>365.7</v>
          </cell>
          <cell r="J25">
            <v>706.7</v>
          </cell>
          <cell r="K25">
            <v>3969502</v>
          </cell>
          <cell r="L25">
            <v>369.8</v>
          </cell>
          <cell r="M25">
            <v>371.3</v>
          </cell>
          <cell r="N25">
            <v>370.2</v>
          </cell>
          <cell r="O25">
            <v>367.1</v>
          </cell>
          <cell r="P25">
            <v>422850</v>
          </cell>
          <cell r="Q25">
            <v>499771</v>
          </cell>
          <cell r="R25">
            <v>0</v>
          </cell>
          <cell r="S25">
            <v>509998</v>
          </cell>
          <cell r="T25">
            <v>0</v>
          </cell>
          <cell r="U25">
            <v>0</v>
          </cell>
          <cell r="V25">
            <v>0</v>
          </cell>
          <cell r="W25">
            <v>0</v>
          </cell>
          <cell r="X25">
            <v>123</v>
          </cell>
          <cell r="Y25">
            <v>25</v>
          </cell>
          <cell r="Z25">
            <v>0</v>
          </cell>
          <cell r="AA25">
            <v>0</v>
          </cell>
          <cell r="AB25">
            <v>0</v>
          </cell>
          <cell r="AC25">
            <v>421911</v>
          </cell>
          <cell r="AD25">
            <v>404971</v>
          </cell>
          <cell r="AE25">
            <v>404971</v>
          </cell>
          <cell r="AF25">
            <v>369.8</v>
          </cell>
          <cell r="AG25">
            <v>371.3</v>
          </cell>
          <cell r="AH25">
            <v>370.2</v>
          </cell>
          <cell r="AI25">
            <v>367.1</v>
          </cell>
          <cell r="AJ25">
            <v>0</v>
          </cell>
          <cell r="AM25">
            <v>0</v>
          </cell>
          <cell r="AN25">
            <v>0</v>
          </cell>
          <cell r="AO25">
            <v>361.1</v>
          </cell>
          <cell r="AQ25">
            <v>0</v>
          </cell>
          <cell r="AT25">
            <v>0</v>
          </cell>
          <cell r="AU25">
            <v>0</v>
          </cell>
          <cell r="AV25">
            <v>3279556</v>
          </cell>
          <cell r="AW25">
            <v>0</v>
          </cell>
          <cell r="AX25">
            <v>0</v>
          </cell>
          <cell r="AY25">
            <v>0</v>
          </cell>
          <cell r="AZ25">
            <v>1</v>
          </cell>
          <cell r="BA25">
            <v>1</v>
          </cell>
          <cell r="BB25">
            <v>0</v>
          </cell>
          <cell r="BC25">
            <v>0</v>
          </cell>
          <cell r="BE25">
            <v>3448676</v>
          </cell>
          <cell r="BF25">
            <v>0</v>
          </cell>
          <cell r="BG25">
            <v>0</v>
          </cell>
          <cell r="BH25">
            <v>33</v>
          </cell>
          <cell r="BI25">
            <v>65661520</v>
          </cell>
          <cell r="BJ25">
            <v>65377925</v>
          </cell>
          <cell r="BL25">
            <v>80</v>
          </cell>
          <cell r="BM25">
            <v>129</v>
          </cell>
          <cell r="BN25">
            <v>140</v>
          </cell>
          <cell r="BO25">
            <v>38</v>
          </cell>
          <cell r="BP25">
            <v>9</v>
          </cell>
          <cell r="BQ25">
            <v>17</v>
          </cell>
        </row>
        <row r="26">
          <cell r="A26">
            <v>209</v>
          </cell>
          <cell r="B26" t="str">
            <v>209 - Moscow Public Schools</v>
          </cell>
          <cell r="C26" t="str">
            <v>Stevens</v>
          </cell>
          <cell r="D26">
            <v>37883617</v>
          </cell>
          <cell r="E26">
            <v>36847728</v>
          </cell>
          <cell r="F26">
            <v>24101302</v>
          </cell>
          <cell r="G26">
            <v>22511345</v>
          </cell>
          <cell r="H26">
            <v>131</v>
          </cell>
          <cell r="I26">
            <v>133.1</v>
          </cell>
          <cell r="J26">
            <v>223</v>
          </cell>
          <cell r="K26">
            <v>1846267</v>
          </cell>
          <cell r="L26">
            <v>128</v>
          </cell>
          <cell r="M26">
            <v>135</v>
          </cell>
          <cell r="N26">
            <v>136.1</v>
          </cell>
          <cell r="O26">
            <v>133.5</v>
          </cell>
          <cell r="P26">
            <v>90811</v>
          </cell>
          <cell r="Q26">
            <v>104831</v>
          </cell>
          <cell r="R26">
            <v>0</v>
          </cell>
          <cell r="S26">
            <v>138161</v>
          </cell>
          <cell r="T26">
            <v>0</v>
          </cell>
          <cell r="U26">
            <v>0</v>
          </cell>
          <cell r="V26">
            <v>0</v>
          </cell>
          <cell r="W26">
            <v>0</v>
          </cell>
          <cell r="X26">
            <v>70</v>
          </cell>
          <cell r="Y26">
            <v>17</v>
          </cell>
          <cell r="Z26">
            <v>0</v>
          </cell>
          <cell r="AA26">
            <v>0</v>
          </cell>
          <cell r="AB26">
            <v>0</v>
          </cell>
          <cell r="AC26">
            <v>213788</v>
          </cell>
          <cell r="AD26">
            <v>201306</v>
          </cell>
          <cell r="AE26">
            <v>201306</v>
          </cell>
          <cell r="AF26">
            <v>128</v>
          </cell>
          <cell r="AG26">
            <v>135</v>
          </cell>
          <cell r="AH26">
            <v>136.1</v>
          </cell>
          <cell r="AI26">
            <v>133.5</v>
          </cell>
          <cell r="AJ26">
            <v>0</v>
          </cell>
          <cell r="AM26">
            <v>0</v>
          </cell>
          <cell r="AN26">
            <v>0</v>
          </cell>
          <cell r="AO26">
            <v>128.5</v>
          </cell>
          <cell r="AQ26">
            <v>0</v>
          </cell>
          <cell r="AT26">
            <v>0</v>
          </cell>
          <cell r="AU26">
            <v>0</v>
          </cell>
          <cell r="AV26">
            <v>1566657</v>
          </cell>
          <cell r="AW26">
            <v>0</v>
          </cell>
          <cell r="AX26">
            <v>0</v>
          </cell>
          <cell r="AY26">
            <v>0</v>
          </cell>
          <cell r="AZ26">
            <v>1</v>
          </cell>
          <cell r="BA26">
            <v>1</v>
          </cell>
          <cell r="BB26">
            <v>0</v>
          </cell>
          <cell r="BC26">
            <v>0</v>
          </cell>
          <cell r="BE26">
            <v>1729822</v>
          </cell>
          <cell r="BF26">
            <v>552</v>
          </cell>
          <cell r="BG26">
            <v>540</v>
          </cell>
          <cell r="BH26">
            <v>33</v>
          </cell>
          <cell r="BI26">
            <v>37883617</v>
          </cell>
          <cell r="BJ26">
            <v>24101302</v>
          </cell>
          <cell r="BL26">
            <v>46</v>
          </cell>
          <cell r="BM26">
            <v>72</v>
          </cell>
          <cell r="BN26">
            <v>65</v>
          </cell>
          <cell r="BO26">
            <v>19</v>
          </cell>
          <cell r="BP26">
            <v>15</v>
          </cell>
          <cell r="BQ26">
            <v>17</v>
          </cell>
        </row>
        <row r="27">
          <cell r="A27">
            <v>210</v>
          </cell>
          <cell r="B27" t="str">
            <v>210 - Hugoton Public Schools</v>
          </cell>
          <cell r="C27" t="str">
            <v>Stevens</v>
          </cell>
          <cell r="D27">
            <v>115198067</v>
          </cell>
          <cell r="E27">
            <v>107616279</v>
          </cell>
          <cell r="F27">
            <v>80624136</v>
          </cell>
          <cell r="G27">
            <v>68601080</v>
          </cell>
          <cell r="H27">
            <v>966.8</v>
          </cell>
          <cell r="I27">
            <v>943</v>
          </cell>
          <cell r="J27">
            <v>575</v>
          </cell>
          <cell r="K27">
            <v>9364675</v>
          </cell>
          <cell r="L27">
            <v>1007</v>
          </cell>
          <cell r="M27">
            <v>993.3</v>
          </cell>
          <cell r="N27">
            <v>968.7</v>
          </cell>
          <cell r="O27">
            <v>979.2</v>
          </cell>
          <cell r="P27">
            <v>622684</v>
          </cell>
          <cell r="Q27">
            <v>685278</v>
          </cell>
          <cell r="R27">
            <v>1130020</v>
          </cell>
          <cell r="S27">
            <v>622779</v>
          </cell>
          <cell r="T27">
            <v>9863</v>
          </cell>
          <cell r="U27">
            <v>11078</v>
          </cell>
          <cell r="V27">
            <v>0.02</v>
          </cell>
          <cell r="W27">
            <v>0.5</v>
          </cell>
          <cell r="X27">
            <v>487</v>
          </cell>
          <cell r="Y27">
            <v>112</v>
          </cell>
          <cell r="Z27">
            <v>0.49</v>
          </cell>
          <cell r="AA27">
            <v>0</v>
          </cell>
          <cell r="AB27">
            <v>0.36430000000000001</v>
          </cell>
          <cell r="AC27">
            <v>972051</v>
          </cell>
          <cell r="AD27">
            <v>928598</v>
          </cell>
          <cell r="AE27">
            <v>928598</v>
          </cell>
          <cell r="AF27">
            <v>995.5</v>
          </cell>
          <cell r="AG27">
            <v>986.3</v>
          </cell>
          <cell r="AH27">
            <v>959.5</v>
          </cell>
          <cell r="AI27">
            <v>969.7</v>
          </cell>
          <cell r="AJ27">
            <v>0</v>
          </cell>
          <cell r="AM27">
            <v>2</v>
          </cell>
          <cell r="AN27">
            <v>0</v>
          </cell>
          <cell r="AO27">
            <v>954.7</v>
          </cell>
          <cell r="AQ27">
            <v>0</v>
          </cell>
          <cell r="AT27">
            <v>0</v>
          </cell>
          <cell r="AU27">
            <v>0</v>
          </cell>
          <cell r="AV27">
            <v>8225489</v>
          </cell>
          <cell r="AW27">
            <v>191919</v>
          </cell>
          <cell r="AX27">
            <v>83764</v>
          </cell>
          <cell r="AY27">
            <v>1285005</v>
          </cell>
          <cell r="AZ27">
            <v>1</v>
          </cell>
          <cell r="BA27">
            <v>1</v>
          </cell>
          <cell r="BB27">
            <v>0</v>
          </cell>
          <cell r="BC27">
            <v>0</v>
          </cell>
          <cell r="BE27">
            <v>8647645</v>
          </cell>
          <cell r="BF27">
            <v>5937</v>
          </cell>
          <cell r="BG27">
            <v>3047</v>
          </cell>
          <cell r="BH27">
            <v>33</v>
          </cell>
          <cell r="BI27">
            <v>115198067</v>
          </cell>
          <cell r="BJ27">
            <v>80624136</v>
          </cell>
          <cell r="BL27">
            <v>437</v>
          </cell>
          <cell r="BM27">
            <v>519</v>
          </cell>
          <cell r="BN27">
            <v>455</v>
          </cell>
          <cell r="BO27">
            <v>141</v>
          </cell>
          <cell r="BP27">
            <v>96</v>
          </cell>
          <cell r="BQ27">
            <v>93</v>
          </cell>
        </row>
        <row r="28">
          <cell r="A28">
            <v>211</v>
          </cell>
          <cell r="B28" t="str">
            <v>211 - Norton Community Schools</v>
          </cell>
          <cell r="C28" t="str">
            <v>Norton</v>
          </cell>
          <cell r="D28">
            <v>58756226</v>
          </cell>
          <cell r="E28">
            <v>50799221</v>
          </cell>
          <cell r="F28">
            <v>57787412</v>
          </cell>
          <cell r="G28">
            <v>45874867</v>
          </cell>
          <cell r="H28">
            <v>640.70000000000005</v>
          </cell>
          <cell r="I28">
            <v>650.5</v>
          </cell>
          <cell r="J28">
            <v>678</v>
          </cell>
          <cell r="K28">
            <v>6952141</v>
          </cell>
          <cell r="L28">
            <v>645.9</v>
          </cell>
          <cell r="M28">
            <v>658.2</v>
          </cell>
          <cell r="N28">
            <v>660.5</v>
          </cell>
          <cell r="O28">
            <v>664.2</v>
          </cell>
          <cell r="P28">
            <v>800928</v>
          </cell>
          <cell r="Q28">
            <v>925133</v>
          </cell>
          <cell r="R28">
            <v>953859</v>
          </cell>
          <cell r="S28">
            <v>866534</v>
          </cell>
          <cell r="T28">
            <v>0</v>
          </cell>
          <cell r="U28">
            <v>0</v>
          </cell>
          <cell r="V28">
            <v>0</v>
          </cell>
          <cell r="W28">
            <v>0.45</v>
          </cell>
          <cell r="X28">
            <v>294</v>
          </cell>
          <cell r="Y28">
            <v>72</v>
          </cell>
          <cell r="Z28">
            <v>0.44</v>
          </cell>
          <cell r="AA28">
            <v>0</v>
          </cell>
          <cell r="AB28">
            <v>0.44829999999999998</v>
          </cell>
          <cell r="AC28">
            <v>617339</v>
          </cell>
          <cell r="AD28">
            <v>577694</v>
          </cell>
          <cell r="AE28">
            <v>577694</v>
          </cell>
          <cell r="AF28">
            <v>645.9</v>
          </cell>
          <cell r="AG28">
            <v>658.2</v>
          </cell>
          <cell r="AH28">
            <v>660.5</v>
          </cell>
          <cell r="AI28">
            <v>664.2</v>
          </cell>
          <cell r="AJ28">
            <v>0</v>
          </cell>
          <cell r="AM28">
            <v>0</v>
          </cell>
          <cell r="AN28">
            <v>1</v>
          </cell>
          <cell r="AO28">
            <v>647.20000000000005</v>
          </cell>
          <cell r="AQ28">
            <v>0</v>
          </cell>
          <cell r="AT28">
            <v>0</v>
          </cell>
          <cell r="AU28">
            <v>0</v>
          </cell>
          <cell r="AV28">
            <v>5633866</v>
          </cell>
          <cell r="AW28">
            <v>147960</v>
          </cell>
          <cell r="AX28">
            <v>177249</v>
          </cell>
          <cell r="AY28">
            <v>803396</v>
          </cell>
          <cell r="AZ28">
            <v>1</v>
          </cell>
          <cell r="BA28">
            <v>1</v>
          </cell>
          <cell r="BB28">
            <v>0</v>
          </cell>
          <cell r="BC28">
            <v>0</v>
          </cell>
          <cell r="BE28">
            <v>6027008</v>
          </cell>
          <cell r="BF28">
            <v>2366</v>
          </cell>
          <cell r="BG28">
            <v>2076</v>
          </cell>
          <cell r="BH28">
            <v>33</v>
          </cell>
          <cell r="BI28">
            <v>58756226</v>
          </cell>
          <cell r="BJ28">
            <v>57548323</v>
          </cell>
          <cell r="BL28">
            <v>173</v>
          </cell>
          <cell r="BM28">
            <v>301</v>
          </cell>
          <cell r="BN28">
            <v>296</v>
          </cell>
          <cell r="BO28">
            <v>83</v>
          </cell>
          <cell r="BP28">
            <v>54</v>
          </cell>
          <cell r="BQ28">
            <v>65</v>
          </cell>
        </row>
        <row r="29">
          <cell r="A29">
            <v>212</v>
          </cell>
          <cell r="B29" t="str">
            <v>212 - Northern Valley</v>
          </cell>
          <cell r="C29" t="str">
            <v>Norton</v>
          </cell>
          <cell r="D29">
            <v>19049551</v>
          </cell>
          <cell r="E29">
            <v>17389570</v>
          </cell>
          <cell r="F29">
            <v>20321882</v>
          </cell>
          <cell r="G29">
            <v>17959261</v>
          </cell>
          <cell r="H29">
            <v>135.5</v>
          </cell>
          <cell r="I29">
            <v>143.1</v>
          </cell>
          <cell r="J29">
            <v>263</v>
          </cell>
          <cell r="K29">
            <v>2049018</v>
          </cell>
          <cell r="L29">
            <v>143.6</v>
          </cell>
          <cell r="M29">
            <v>142.80000000000001</v>
          </cell>
          <cell r="N29">
            <v>146.1</v>
          </cell>
          <cell r="O29">
            <v>138.5</v>
          </cell>
          <cell r="P29">
            <v>168992</v>
          </cell>
          <cell r="Q29">
            <v>214884</v>
          </cell>
          <cell r="R29">
            <v>93277</v>
          </cell>
          <cell r="S29">
            <v>247100</v>
          </cell>
          <cell r="T29">
            <v>0</v>
          </cell>
          <cell r="U29">
            <v>0</v>
          </cell>
          <cell r="V29">
            <v>0</v>
          </cell>
          <cell r="W29">
            <v>0</v>
          </cell>
          <cell r="X29">
            <v>77</v>
          </cell>
          <cell r="Y29">
            <v>9</v>
          </cell>
          <cell r="Z29">
            <v>0</v>
          </cell>
          <cell r="AA29">
            <v>0</v>
          </cell>
          <cell r="AB29">
            <v>0.14580000000000001</v>
          </cell>
          <cell r="AC29">
            <v>177940</v>
          </cell>
          <cell r="AD29">
            <v>167596</v>
          </cell>
          <cell r="AE29">
            <v>167596</v>
          </cell>
          <cell r="AF29">
            <v>143.6</v>
          </cell>
          <cell r="AG29">
            <v>142.80000000000001</v>
          </cell>
          <cell r="AH29">
            <v>146.1</v>
          </cell>
          <cell r="AI29">
            <v>138.5</v>
          </cell>
          <cell r="AJ29">
            <v>0</v>
          </cell>
          <cell r="AM29">
            <v>0</v>
          </cell>
          <cell r="AN29">
            <v>0</v>
          </cell>
          <cell r="AO29">
            <v>135.5</v>
          </cell>
          <cell r="AQ29">
            <v>0</v>
          </cell>
          <cell r="AT29">
            <v>0</v>
          </cell>
          <cell r="AU29">
            <v>0</v>
          </cell>
          <cell r="AV29">
            <v>1747149</v>
          </cell>
          <cell r="AW29">
            <v>0</v>
          </cell>
          <cell r="AX29">
            <v>3233</v>
          </cell>
          <cell r="AY29">
            <v>9705</v>
          </cell>
          <cell r="AZ29">
            <v>1</v>
          </cell>
          <cell r="BA29">
            <v>1</v>
          </cell>
          <cell r="BB29">
            <v>0</v>
          </cell>
          <cell r="BC29">
            <v>0</v>
          </cell>
          <cell r="BE29">
            <v>1834094</v>
          </cell>
          <cell r="BF29">
            <v>1113</v>
          </cell>
          <cell r="BG29">
            <v>1263</v>
          </cell>
          <cell r="BH29">
            <v>33</v>
          </cell>
          <cell r="BI29">
            <v>19049551</v>
          </cell>
          <cell r="BJ29">
            <v>20233770</v>
          </cell>
          <cell r="BL29">
            <v>55</v>
          </cell>
          <cell r="BM29">
            <v>61</v>
          </cell>
          <cell r="BN29">
            <v>79</v>
          </cell>
          <cell r="BO29">
            <v>14</v>
          </cell>
          <cell r="BP29">
            <v>20</v>
          </cell>
          <cell r="BQ29">
            <v>9</v>
          </cell>
        </row>
        <row r="30">
          <cell r="A30">
            <v>214</v>
          </cell>
          <cell r="B30" t="str">
            <v>214 - Ulysses</v>
          </cell>
          <cell r="C30" t="str">
            <v>Grant</v>
          </cell>
          <cell r="D30">
            <v>164556786</v>
          </cell>
          <cell r="E30">
            <v>153198367</v>
          </cell>
          <cell r="F30">
            <v>137112858</v>
          </cell>
          <cell r="G30">
            <v>118800700</v>
          </cell>
          <cell r="H30">
            <v>1405</v>
          </cell>
          <cell r="I30">
            <v>1378.4</v>
          </cell>
          <cell r="J30">
            <v>517</v>
          </cell>
          <cell r="K30">
            <v>13507235</v>
          </cell>
          <cell r="L30">
            <v>1472.3</v>
          </cell>
          <cell r="M30">
            <v>1450.7</v>
          </cell>
          <cell r="N30">
            <v>1459.6</v>
          </cell>
          <cell r="O30">
            <v>1438.7</v>
          </cell>
          <cell r="P30">
            <v>920013</v>
          </cell>
          <cell r="Q30">
            <v>1002794</v>
          </cell>
          <cell r="R30">
            <v>1456294</v>
          </cell>
          <cell r="S30">
            <v>994230</v>
          </cell>
          <cell r="T30">
            <v>0</v>
          </cell>
          <cell r="U30">
            <v>0</v>
          </cell>
          <cell r="V30">
            <v>0</v>
          </cell>
          <cell r="W30">
            <v>0.37</v>
          </cell>
          <cell r="X30">
            <v>881</v>
          </cell>
          <cell r="Y30">
            <v>154</v>
          </cell>
          <cell r="Z30">
            <v>0.36</v>
          </cell>
          <cell r="AA30">
            <v>0</v>
          </cell>
          <cell r="AB30">
            <v>0.32990000000000003</v>
          </cell>
          <cell r="AC30">
            <v>1341054</v>
          </cell>
          <cell r="AD30">
            <v>1254677</v>
          </cell>
          <cell r="AE30">
            <v>1254677</v>
          </cell>
          <cell r="AF30">
            <v>1449</v>
          </cell>
          <cell r="AG30">
            <v>1425</v>
          </cell>
          <cell r="AH30">
            <v>1397.9</v>
          </cell>
          <cell r="AI30">
            <v>1364.4</v>
          </cell>
          <cell r="AJ30">
            <v>0</v>
          </cell>
          <cell r="AM30">
            <v>0</v>
          </cell>
          <cell r="AN30">
            <v>0</v>
          </cell>
          <cell r="AO30">
            <v>1345.4</v>
          </cell>
          <cell r="AQ30">
            <v>0</v>
          </cell>
          <cell r="AT30">
            <v>0</v>
          </cell>
          <cell r="AU30">
            <v>0</v>
          </cell>
          <cell r="AV30">
            <v>11849645</v>
          </cell>
          <cell r="AW30">
            <v>144160</v>
          </cell>
          <cell r="AX30">
            <v>208049</v>
          </cell>
          <cell r="AY30">
            <v>1519756</v>
          </cell>
          <cell r="AZ30">
            <v>1</v>
          </cell>
          <cell r="BA30">
            <v>1</v>
          </cell>
          <cell r="BB30">
            <v>0</v>
          </cell>
          <cell r="BC30">
            <v>0</v>
          </cell>
          <cell r="BE30">
            <v>12469276</v>
          </cell>
          <cell r="BF30">
            <v>4547</v>
          </cell>
          <cell r="BG30">
            <v>1925</v>
          </cell>
          <cell r="BH30">
            <v>33</v>
          </cell>
          <cell r="BI30">
            <v>164556786</v>
          </cell>
          <cell r="BJ30">
            <v>136977080</v>
          </cell>
          <cell r="BL30">
            <v>618</v>
          </cell>
          <cell r="BM30">
            <v>877</v>
          </cell>
          <cell r="BN30">
            <v>846</v>
          </cell>
          <cell r="BO30">
            <v>132</v>
          </cell>
          <cell r="BP30">
            <v>163</v>
          </cell>
          <cell r="BQ30">
            <v>141</v>
          </cell>
        </row>
        <row r="31">
          <cell r="A31">
            <v>215</v>
          </cell>
          <cell r="B31" t="str">
            <v>215 - Lakin</v>
          </cell>
          <cell r="C31" t="str">
            <v>Kearny</v>
          </cell>
          <cell r="D31">
            <v>80900112</v>
          </cell>
          <cell r="E31">
            <v>75908732</v>
          </cell>
          <cell r="F31">
            <v>64575937</v>
          </cell>
          <cell r="G31">
            <v>56261576</v>
          </cell>
          <cell r="H31">
            <v>621.9</v>
          </cell>
          <cell r="I31">
            <v>604.1</v>
          </cell>
          <cell r="J31">
            <v>646</v>
          </cell>
          <cell r="K31">
            <v>6634301</v>
          </cell>
          <cell r="L31">
            <v>609</v>
          </cell>
          <cell r="M31">
            <v>630.4</v>
          </cell>
          <cell r="N31">
            <v>609.1</v>
          </cell>
          <cell r="O31">
            <v>656</v>
          </cell>
          <cell r="P31">
            <v>381510</v>
          </cell>
          <cell r="Q31">
            <v>423996</v>
          </cell>
          <cell r="R31">
            <v>497435</v>
          </cell>
          <cell r="S31">
            <v>396551</v>
          </cell>
          <cell r="T31">
            <v>0</v>
          </cell>
          <cell r="U31">
            <v>0</v>
          </cell>
          <cell r="V31">
            <v>0</v>
          </cell>
          <cell r="W31">
            <v>0.35</v>
          </cell>
          <cell r="X31">
            <v>312</v>
          </cell>
          <cell r="Y31">
            <v>88</v>
          </cell>
          <cell r="Z31">
            <v>0.34</v>
          </cell>
          <cell r="AA31">
            <v>0</v>
          </cell>
          <cell r="AB31">
            <v>0.25030000000000002</v>
          </cell>
          <cell r="AC31">
            <v>640779</v>
          </cell>
          <cell r="AD31">
            <v>610247</v>
          </cell>
          <cell r="AE31">
            <v>610247</v>
          </cell>
          <cell r="AF31">
            <v>609</v>
          </cell>
          <cell r="AG31">
            <v>630.4</v>
          </cell>
          <cell r="AH31">
            <v>609.1</v>
          </cell>
          <cell r="AI31">
            <v>656</v>
          </cell>
          <cell r="AJ31">
            <v>0</v>
          </cell>
          <cell r="AM31">
            <v>0</v>
          </cell>
          <cell r="AN31">
            <v>0</v>
          </cell>
          <cell r="AO31">
            <v>648</v>
          </cell>
          <cell r="AQ31">
            <v>0</v>
          </cell>
          <cell r="AT31">
            <v>0</v>
          </cell>
          <cell r="AU31">
            <v>0</v>
          </cell>
          <cell r="AV31">
            <v>5574842</v>
          </cell>
          <cell r="AW31">
            <v>0</v>
          </cell>
          <cell r="AX31">
            <v>0</v>
          </cell>
          <cell r="AY31">
            <v>603314</v>
          </cell>
          <cell r="AZ31">
            <v>1</v>
          </cell>
          <cell r="BA31">
            <v>1</v>
          </cell>
          <cell r="BB31">
            <v>0</v>
          </cell>
          <cell r="BC31">
            <v>0</v>
          </cell>
          <cell r="BE31">
            <v>6175932</v>
          </cell>
          <cell r="BF31">
            <v>2657</v>
          </cell>
          <cell r="BG31">
            <v>2624</v>
          </cell>
          <cell r="BH31">
            <v>33</v>
          </cell>
          <cell r="BI31">
            <v>80900112</v>
          </cell>
          <cell r="BJ31">
            <v>63897953</v>
          </cell>
          <cell r="BL31">
            <v>241</v>
          </cell>
          <cell r="BM31">
            <v>305</v>
          </cell>
          <cell r="BN31">
            <v>313</v>
          </cell>
          <cell r="BO31">
            <v>72</v>
          </cell>
          <cell r="BP31">
            <v>64</v>
          </cell>
          <cell r="BQ31">
            <v>62</v>
          </cell>
        </row>
        <row r="32">
          <cell r="A32">
            <v>216</v>
          </cell>
          <cell r="B32" t="str">
            <v>216 - Deerfield</v>
          </cell>
          <cell r="C32" t="str">
            <v>Kearny</v>
          </cell>
          <cell r="D32">
            <v>32635800</v>
          </cell>
          <cell r="E32">
            <v>30991097</v>
          </cell>
          <cell r="F32">
            <v>25070393</v>
          </cell>
          <cell r="G32">
            <v>22371272</v>
          </cell>
          <cell r="H32">
            <v>216.5</v>
          </cell>
          <cell r="I32">
            <v>228</v>
          </cell>
          <cell r="J32">
            <v>216</v>
          </cell>
          <cell r="K32">
            <v>2869701</v>
          </cell>
          <cell r="L32">
            <v>220</v>
          </cell>
          <cell r="M32">
            <v>228.5</v>
          </cell>
          <cell r="N32">
            <v>235.5</v>
          </cell>
          <cell r="O32">
            <v>232.5</v>
          </cell>
          <cell r="P32">
            <v>148924</v>
          </cell>
          <cell r="Q32">
            <v>170628</v>
          </cell>
          <cell r="R32">
            <v>194771</v>
          </cell>
          <cell r="S32">
            <v>205889</v>
          </cell>
          <cell r="T32">
            <v>3809</v>
          </cell>
          <cell r="U32">
            <v>0</v>
          </cell>
          <cell r="V32">
            <v>0</v>
          </cell>
          <cell r="W32">
            <v>0.25</v>
          </cell>
          <cell r="X32">
            <v>144</v>
          </cell>
          <cell r="Y32">
            <v>36</v>
          </cell>
          <cell r="Z32">
            <v>0.24</v>
          </cell>
          <cell r="AA32">
            <v>0</v>
          </cell>
          <cell r="AB32">
            <v>0.20660000000000001</v>
          </cell>
          <cell r="AC32">
            <v>295338</v>
          </cell>
          <cell r="AD32">
            <v>300457</v>
          </cell>
          <cell r="AE32">
            <v>300457</v>
          </cell>
          <cell r="AF32">
            <v>220</v>
          </cell>
          <cell r="AG32">
            <v>228.5</v>
          </cell>
          <cell r="AH32">
            <v>235.5</v>
          </cell>
          <cell r="AI32">
            <v>232.5</v>
          </cell>
          <cell r="AJ32">
            <v>0</v>
          </cell>
          <cell r="AM32">
            <v>0</v>
          </cell>
          <cell r="AN32">
            <v>0</v>
          </cell>
          <cell r="AO32">
            <v>229</v>
          </cell>
          <cell r="AQ32">
            <v>0</v>
          </cell>
          <cell r="AT32">
            <v>0</v>
          </cell>
          <cell r="AU32">
            <v>0</v>
          </cell>
          <cell r="AV32">
            <v>2501119</v>
          </cell>
          <cell r="AW32">
            <v>0</v>
          </cell>
          <cell r="AX32">
            <v>0</v>
          </cell>
          <cell r="AY32">
            <v>166679</v>
          </cell>
          <cell r="AZ32">
            <v>1</v>
          </cell>
          <cell r="BA32">
            <v>1</v>
          </cell>
          <cell r="BB32">
            <v>0</v>
          </cell>
          <cell r="BC32">
            <v>0</v>
          </cell>
          <cell r="BE32">
            <v>2683896</v>
          </cell>
          <cell r="BF32">
            <v>4016</v>
          </cell>
          <cell r="BG32">
            <v>3719</v>
          </cell>
          <cell r="BH32">
            <v>33</v>
          </cell>
          <cell r="BI32">
            <v>32635800</v>
          </cell>
          <cell r="BJ32">
            <v>24961714</v>
          </cell>
          <cell r="BL32">
            <v>140</v>
          </cell>
          <cell r="BM32">
            <v>144</v>
          </cell>
          <cell r="BN32">
            <v>145</v>
          </cell>
          <cell r="BO32">
            <v>27</v>
          </cell>
          <cell r="BP32">
            <v>36</v>
          </cell>
          <cell r="BQ32">
            <v>34</v>
          </cell>
        </row>
        <row r="33">
          <cell r="A33">
            <v>217</v>
          </cell>
          <cell r="B33" t="str">
            <v>217 - Rolla</v>
          </cell>
          <cell r="C33" t="str">
            <v>Morton</v>
          </cell>
          <cell r="D33">
            <v>27493467</v>
          </cell>
          <cell r="E33">
            <v>26323350</v>
          </cell>
          <cell r="F33">
            <v>18806768</v>
          </cell>
          <cell r="G33">
            <v>17176221</v>
          </cell>
          <cell r="H33">
            <v>94</v>
          </cell>
          <cell r="I33">
            <v>89.5</v>
          </cell>
          <cell r="J33">
            <v>252</v>
          </cell>
          <cell r="K33">
            <v>1439691</v>
          </cell>
          <cell r="L33">
            <v>96.5</v>
          </cell>
          <cell r="M33">
            <v>94.5</v>
          </cell>
          <cell r="N33">
            <v>89.5</v>
          </cell>
          <cell r="O33">
            <v>96</v>
          </cell>
          <cell r="P33">
            <v>72766</v>
          </cell>
          <cell r="Q33">
            <v>81106</v>
          </cell>
          <cell r="R33">
            <v>0</v>
          </cell>
          <cell r="S33">
            <v>146340</v>
          </cell>
          <cell r="T33">
            <v>0</v>
          </cell>
          <cell r="U33">
            <v>0</v>
          </cell>
          <cell r="V33">
            <v>0</v>
          </cell>
          <cell r="W33">
            <v>0</v>
          </cell>
          <cell r="X33">
            <v>59</v>
          </cell>
          <cell r="Y33">
            <v>12</v>
          </cell>
          <cell r="Z33">
            <v>0</v>
          </cell>
          <cell r="AA33">
            <v>0</v>
          </cell>
          <cell r="AB33">
            <v>0</v>
          </cell>
          <cell r="AC33">
            <v>179817</v>
          </cell>
          <cell r="AD33">
            <v>152951</v>
          </cell>
          <cell r="AE33">
            <v>152951</v>
          </cell>
          <cell r="AF33">
            <v>96.5</v>
          </cell>
          <cell r="AG33">
            <v>94.5</v>
          </cell>
          <cell r="AH33">
            <v>89.5</v>
          </cell>
          <cell r="AI33">
            <v>96</v>
          </cell>
          <cell r="AJ33">
            <v>0</v>
          </cell>
          <cell r="AM33">
            <v>0</v>
          </cell>
          <cell r="AN33">
            <v>0</v>
          </cell>
          <cell r="AO33">
            <v>90</v>
          </cell>
          <cell r="AQ33">
            <v>0</v>
          </cell>
          <cell r="AT33">
            <v>0</v>
          </cell>
          <cell r="AU33">
            <v>0</v>
          </cell>
          <cell r="AV33">
            <v>1221972</v>
          </cell>
          <cell r="AW33">
            <v>0</v>
          </cell>
          <cell r="AX33">
            <v>0</v>
          </cell>
          <cell r="AY33">
            <v>0</v>
          </cell>
          <cell r="AZ33">
            <v>1</v>
          </cell>
          <cell r="BA33">
            <v>1</v>
          </cell>
          <cell r="BB33">
            <v>0</v>
          </cell>
          <cell r="BC33">
            <v>0</v>
          </cell>
          <cell r="BE33">
            <v>1341772</v>
          </cell>
          <cell r="BF33">
            <v>0</v>
          </cell>
          <cell r="BG33">
            <v>0</v>
          </cell>
          <cell r="BH33">
            <v>33</v>
          </cell>
          <cell r="BI33">
            <v>27493467</v>
          </cell>
          <cell r="BJ33">
            <v>18806768</v>
          </cell>
          <cell r="BL33">
            <v>48</v>
          </cell>
          <cell r="BM33">
            <v>53</v>
          </cell>
          <cell r="BN33">
            <v>57</v>
          </cell>
          <cell r="BO33">
            <v>12</v>
          </cell>
          <cell r="BP33">
            <v>10</v>
          </cell>
          <cell r="BQ33">
            <v>12</v>
          </cell>
        </row>
        <row r="34">
          <cell r="A34">
            <v>218</v>
          </cell>
          <cell r="B34" t="str">
            <v>218 - Elkhart</v>
          </cell>
          <cell r="C34" t="str">
            <v>Morton</v>
          </cell>
          <cell r="D34">
            <v>46522836</v>
          </cell>
          <cell r="E34">
            <v>42625893</v>
          </cell>
          <cell r="F34">
            <v>32278647</v>
          </cell>
          <cell r="G34">
            <v>26444906</v>
          </cell>
          <cell r="H34">
            <v>372</v>
          </cell>
          <cell r="I34">
            <v>344.4</v>
          </cell>
          <cell r="J34">
            <v>376</v>
          </cell>
          <cell r="K34">
            <v>9892375</v>
          </cell>
          <cell r="L34">
            <v>1762.6</v>
          </cell>
          <cell r="M34">
            <v>1572.4</v>
          </cell>
          <cell r="N34">
            <v>1507.6</v>
          </cell>
          <cell r="O34">
            <v>1353.1</v>
          </cell>
          <cell r="P34">
            <v>258059</v>
          </cell>
          <cell r="Q34">
            <v>568935</v>
          </cell>
          <cell r="R34">
            <v>1177475</v>
          </cell>
          <cell r="S34">
            <v>390789</v>
          </cell>
          <cell r="T34">
            <v>0</v>
          </cell>
          <cell r="U34">
            <v>0</v>
          </cell>
          <cell r="V34">
            <v>0</v>
          </cell>
          <cell r="W34">
            <v>1</v>
          </cell>
          <cell r="X34">
            <v>206</v>
          </cell>
          <cell r="Y34">
            <v>156</v>
          </cell>
          <cell r="Z34">
            <v>1</v>
          </cell>
          <cell r="AA34">
            <v>0.52</v>
          </cell>
          <cell r="AB34">
            <v>0.82530000000000003</v>
          </cell>
          <cell r="AC34">
            <v>454289</v>
          </cell>
          <cell r="AD34">
            <v>397773</v>
          </cell>
          <cell r="AE34">
            <v>397773</v>
          </cell>
          <cell r="AF34">
            <v>404.5</v>
          </cell>
          <cell r="AG34">
            <v>387.8</v>
          </cell>
          <cell r="AH34">
            <v>362.3</v>
          </cell>
          <cell r="AI34">
            <v>348.6</v>
          </cell>
          <cell r="AJ34">
            <v>0</v>
          </cell>
          <cell r="AM34">
            <v>0</v>
          </cell>
          <cell r="AN34">
            <v>0</v>
          </cell>
          <cell r="AO34">
            <v>338.1</v>
          </cell>
          <cell r="AQ34">
            <v>0</v>
          </cell>
          <cell r="AT34">
            <v>0</v>
          </cell>
          <cell r="AU34">
            <v>0</v>
          </cell>
          <cell r="AV34">
            <v>9734151</v>
          </cell>
          <cell r="AW34">
            <v>174824</v>
          </cell>
          <cell r="AX34">
            <v>127789</v>
          </cell>
          <cell r="AY34">
            <v>1166866</v>
          </cell>
          <cell r="AZ34">
            <v>1</v>
          </cell>
          <cell r="BA34">
            <v>1</v>
          </cell>
          <cell r="BB34">
            <v>0</v>
          </cell>
          <cell r="BC34">
            <v>0</v>
          </cell>
          <cell r="BE34">
            <v>9307969</v>
          </cell>
          <cell r="BF34">
            <v>50</v>
          </cell>
          <cell r="BG34">
            <v>71</v>
          </cell>
          <cell r="BH34">
            <v>33</v>
          </cell>
          <cell r="BI34">
            <v>46522836</v>
          </cell>
          <cell r="BJ34">
            <v>32278647</v>
          </cell>
          <cell r="BL34">
            <v>147</v>
          </cell>
          <cell r="BM34">
            <v>184</v>
          </cell>
          <cell r="BN34">
            <v>192</v>
          </cell>
          <cell r="BO34">
            <v>242</v>
          </cell>
          <cell r="BP34">
            <v>198</v>
          </cell>
          <cell r="BQ34">
            <v>207</v>
          </cell>
        </row>
        <row r="35">
          <cell r="A35">
            <v>219</v>
          </cell>
          <cell r="B35" t="str">
            <v>219 - Minneola</v>
          </cell>
          <cell r="C35" t="str">
            <v>Clark</v>
          </cell>
          <cell r="D35">
            <v>31223208</v>
          </cell>
          <cell r="E35">
            <v>29475046</v>
          </cell>
          <cell r="F35">
            <v>31983283</v>
          </cell>
          <cell r="G35">
            <v>29267253</v>
          </cell>
          <cell r="H35">
            <v>245.5</v>
          </cell>
          <cell r="I35">
            <v>234.5</v>
          </cell>
          <cell r="J35">
            <v>292</v>
          </cell>
          <cell r="K35">
            <v>2734713</v>
          </cell>
          <cell r="L35">
            <v>226.5</v>
          </cell>
          <cell r="M35">
            <v>248</v>
          </cell>
          <cell r="N35">
            <v>236.5</v>
          </cell>
          <cell r="O35">
            <v>234.5</v>
          </cell>
          <cell r="P35">
            <v>196872</v>
          </cell>
          <cell r="Q35">
            <v>188750</v>
          </cell>
          <cell r="R35">
            <v>143296</v>
          </cell>
          <cell r="S35">
            <v>247823</v>
          </cell>
          <cell r="T35">
            <v>0</v>
          </cell>
          <cell r="U35">
            <v>0</v>
          </cell>
          <cell r="V35">
            <v>0</v>
          </cell>
          <cell r="W35">
            <v>0</v>
          </cell>
          <cell r="X35">
            <v>108</v>
          </cell>
          <cell r="Y35">
            <v>38</v>
          </cell>
          <cell r="Z35">
            <v>0</v>
          </cell>
          <cell r="AA35">
            <v>0</v>
          </cell>
          <cell r="AB35">
            <v>0.18540000000000001</v>
          </cell>
          <cell r="AC35">
            <v>323124</v>
          </cell>
          <cell r="AD35">
            <v>301838</v>
          </cell>
          <cell r="AE35">
            <v>301838</v>
          </cell>
          <cell r="AF35">
            <v>226.5</v>
          </cell>
          <cell r="AG35">
            <v>248</v>
          </cell>
          <cell r="AH35">
            <v>236.5</v>
          </cell>
          <cell r="AI35">
            <v>234.5</v>
          </cell>
          <cell r="AJ35">
            <v>0</v>
          </cell>
          <cell r="AM35">
            <v>0</v>
          </cell>
          <cell r="AN35">
            <v>0</v>
          </cell>
          <cell r="AO35">
            <v>231.5</v>
          </cell>
          <cell r="AQ35">
            <v>0</v>
          </cell>
          <cell r="AT35">
            <v>0</v>
          </cell>
          <cell r="AU35">
            <v>0</v>
          </cell>
          <cell r="AV35">
            <v>2458409</v>
          </cell>
          <cell r="AW35">
            <v>1864</v>
          </cell>
          <cell r="AX35">
            <v>0</v>
          </cell>
          <cell r="AY35">
            <v>115121</v>
          </cell>
          <cell r="AZ35">
            <v>1</v>
          </cell>
          <cell r="BA35">
            <v>1</v>
          </cell>
          <cell r="BB35">
            <v>0</v>
          </cell>
          <cell r="BC35">
            <v>0</v>
          </cell>
          <cell r="BE35">
            <v>2545301</v>
          </cell>
          <cell r="BF35">
            <v>513</v>
          </cell>
          <cell r="BG35">
            <v>781</v>
          </cell>
          <cell r="BH35">
            <v>33</v>
          </cell>
          <cell r="BI35">
            <v>31223208</v>
          </cell>
          <cell r="BJ35">
            <v>31744945</v>
          </cell>
          <cell r="BL35">
            <v>73</v>
          </cell>
          <cell r="BM35">
            <v>125</v>
          </cell>
          <cell r="BN35">
            <v>114</v>
          </cell>
          <cell r="BO35">
            <v>58</v>
          </cell>
          <cell r="BP35">
            <v>24</v>
          </cell>
          <cell r="BQ35">
            <v>35</v>
          </cell>
        </row>
        <row r="36">
          <cell r="A36">
            <v>220</v>
          </cell>
          <cell r="B36" t="str">
            <v>220 - Ashland</v>
          </cell>
          <cell r="C36" t="str">
            <v>Clark</v>
          </cell>
          <cell r="D36">
            <v>25360032</v>
          </cell>
          <cell r="E36">
            <v>23185057</v>
          </cell>
          <cell r="F36">
            <v>24463449</v>
          </cell>
          <cell r="G36">
            <v>21494118</v>
          </cell>
          <cell r="H36">
            <v>186.5</v>
          </cell>
          <cell r="I36">
            <v>192.3</v>
          </cell>
          <cell r="J36">
            <v>660</v>
          </cell>
          <cell r="K36">
            <v>2203904</v>
          </cell>
          <cell r="L36">
            <v>198.8</v>
          </cell>
          <cell r="M36">
            <v>186.5</v>
          </cell>
          <cell r="N36">
            <v>194.3</v>
          </cell>
          <cell r="O36">
            <v>178.2</v>
          </cell>
          <cell r="P36">
            <v>157078</v>
          </cell>
          <cell r="Q36">
            <v>161010</v>
          </cell>
          <cell r="R36">
            <v>125582</v>
          </cell>
          <cell r="S36">
            <v>198681</v>
          </cell>
          <cell r="T36">
            <v>10568</v>
          </cell>
          <cell r="U36">
            <v>0</v>
          </cell>
          <cell r="V36">
            <v>0</v>
          </cell>
          <cell r="W36">
            <v>0</v>
          </cell>
          <cell r="X36">
            <v>47</v>
          </cell>
          <cell r="Y36">
            <v>47</v>
          </cell>
          <cell r="Z36">
            <v>0</v>
          </cell>
          <cell r="AA36">
            <v>0</v>
          </cell>
          <cell r="AB36">
            <v>0.16420000000000001</v>
          </cell>
          <cell r="AC36">
            <v>261248</v>
          </cell>
          <cell r="AD36">
            <v>229646</v>
          </cell>
          <cell r="AE36">
            <v>229646</v>
          </cell>
          <cell r="AF36">
            <v>198.8</v>
          </cell>
          <cell r="AG36">
            <v>186.5</v>
          </cell>
          <cell r="AH36">
            <v>194.3</v>
          </cell>
          <cell r="AI36">
            <v>178.2</v>
          </cell>
          <cell r="AJ36">
            <v>0</v>
          </cell>
          <cell r="AM36">
            <v>0</v>
          </cell>
          <cell r="AN36">
            <v>0</v>
          </cell>
          <cell r="AO36">
            <v>177.7</v>
          </cell>
          <cell r="AQ36">
            <v>0</v>
          </cell>
          <cell r="AT36">
            <v>0</v>
          </cell>
          <cell r="AU36">
            <v>0</v>
          </cell>
          <cell r="AV36">
            <v>2063266</v>
          </cell>
          <cell r="AW36">
            <v>0</v>
          </cell>
          <cell r="AX36">
            <v>1948</v>
          </cell>
          <cell r="AY36">
            <v>139506</v>
          </cell>
          <cell r="AZ36">
            <v>1</v>
          </cell>
          <cell r="BA36">
            <v>1</v>
          </cell>
          <cell r="BB36">
            <v>0</v>
          </cell>
          <cell r="BC36">
            <v>0</v>
          </cell>
          <cell r="BE36">
            <v>2033554</v>
          </cell>
          <cell r="BF36">
            <v>113</v>
          </cell>
          <cell r="BG36">
            <v>248</v>
          </cell>
          <cell r="BH36">
            <v>33</v>
          </cell>
          <cell r="BI36">
            <v>25360032</v>
          </cell>
          <cell r="BJ36">
            <v>24354735</v>
          </cell>
          <cell r="BL36">
            <v>56</v>
          </cell>
          <cell r="BM36">
            <v>63</v>
          </cell>
          <cell r="BN36">
            <v>77</v>
          </cell>
          <cell r="BO36">
            <v>32</v>
          </cell>
          <cell r="BP36">
            <v>42</v>
          </cell>
          <cell r="BQ36">
            <v>26</v>
          </cell>
        </row>
        <row r="37">
          <cell r="A37">
            <v>223</v>
          </cell>
          <cell r="B37" t="str">
            <v>223 - Barnes</v>
          </cell>
          <cell r="C37" t="str">
            <v>Washington</v>
          </cell>
          <cell r="D37">
            <v>74332860</v>
          </cell>
          <cell r="E37">
            <v>69196722</v>
          </cell>
          <cell r="F37">
            <v>76122921</v>
          </cell>
          <cell r="G37">
            <v>67496790</v>
          </cell>
          <cell r="H37">
            <v>357.5</v>
          </cell>
          <cell r="I37">
            <v>366.7</v>
          </cell>
          <cell r="J37">
            <v>378</v>
          </cell>
          <cell r="K37">
            <v>3926478</v>
          </cell>
          <cell r="L37">
            <v>346.3</v>
          </cell>
          <cell r="M37">
            <v>374</v>
          </cell>
          <cell r="N37">
            <v>382.7</v>
          </cell>
          <cell r="O37">
            <v>379.2</v>
          </cell>
          <cell r="P37">
            <v>420094</v>
          </cell>
          <cell r="Q37">
            <v>422278</v>
          </cell>
          <cell r="R37">
            <v>0</v>
          </cell>
          <cell r="S37">
            <v>427159</v>
          </cell>
          <cell r="T37">
            <v>0</v>
          </cell>
          <cell r="U37">
            <v>0</v>
          </cell>
          <cell r="V37">
            <v>0</v>
          </cell>
          <cell r="W37">
            <v>0</v>
          </cell>
          <cell r="X37">
            <v>93</v>
          </cell>
          <cell r="Y37">
            <v>23</v>
          </cell>
          <cell r="Z37">
            <v>0</v>
          </cell>
          <cell r="AA37">
            <v>0</v>
          </cell>
          <cell r="AB37">
            <v>0</v>
          </cell>
          <cell r="AC37">
            <v>381632</v>
          </cell>
          <cell r="AD37">
            <v>362329</v>
          </cell>
          <cell r="AE37">
            <v>362329</v>
          </cell>
          <cell r="AF37">
            <v>346.3</v>
          </cell>
          <cell r="AG37">
            <v>374</v>
          </cell>
          <cell r="AH37">
            <v>382.7</v>
          </cell>
          <cell r="AI37">
            <v>379.2</v>
          </cell>
          <cell r="AJ37">
            <v>0</v>
          </cell>
          <cell r="AM37">
            <v>0</v>
          </cell>
          <cell r="AN37">
            <v>0</v>
          </cell>
          <cell r="AO37">
            <v>370.7</v>
          </cell>
          <cell r="AQ37">
            <v>0</v>
          </cell>
          <cell r="AT37">
            <v>0</v>
          </cell>
          <cell r="AU37">
            <v>0</v>
          </cell>
          <cell r="AV37">
            <v>3304322</v>
          </cell>
          <cell r="AW37">
            <v>0</v>
          </cell>
          <cell r="AX37">
            <v>0</v>
          </cell>
          <cell r="AY37">
            <v>0</v>
          </cell>
          <cell r="AZ37">
            <v>1</v>
          </cell>
          <cell r="BA37">
            <v>1</v>
          </cell>
          <cell r="BB37">
            <v>0</v>
          </cell>
          <cell r="BC37">
            <v>0</v>
          </cell>
          <cell r="BE37">
            <v>3504200</v>
          </cell>
          <cell r="BF37">
            <v>1419</v>
          </cell>
          <cell r="BG37">
            <v>1297</v>
          </cell>
          <cell r="BH37">
            <v>33</v>
          </cell>
          <cell r="BI37">
            <v>76061950</v>
          </cell>
          <cell r="BJ37">
            <v>75976160</v>
          </cell>
          <cell r="BL37">
            <v>99</v>
          </cell>
          <cell r="BM37">
            <v>99</v>
          </cell>
          <cell r="BN37">
            <v>110</v>
          </cell>
          <cell r="BO37">
            <v>46</v>
          </cell>
          <cell r="BP37">
            <v>29</v>
          </cell>
          <cell r="BQ37">
            <v>39</v>
          </cell>
        </row>
        <row r="38">
          <cell r="A38">
            <v>224</v>
          </cell>
          <cell r="B38" t="str">
            <v>224 - Clifton-Clyde</v>
          </cell>
          <cell r="C38" t="str">
            <v>Washington</v>
          </cell>
          <cell r="D38">
            <v>48440410</v>
          </cell>
          <cell r="E38">
            <v>44792595</v>
          </cell>
          <cell r="F38">
            <v>48104725</v>
          </cell>
          <cell r="G38">
            <v>42319938</v>
          </cell>
          <cell r="H38">
            <v>292.2</v>
          </cell>
          <cell r="I38">
            <v>293.10000000000002</v>
          </cell>
          <cell r="J38">
            <v>255</v>
          </cell>
          <cell r="K38">
            <v>3257992</v>
          </cell>
          <cell r="L38">
            <v>282</v>
          </cell>
          <cell r="M38">
            <v>292.7</v>
          </cell>
          <cell r="N38">
            <v>296.10000000000002</v>
          </cell>
          <cell r="O38">
            <v>299</v>
          </cell>
          <cell r="P38">
            <v>306632</v>
          </cell>
          <cell r="Q38">
            <v>325943</v>
          </cell>
          <cell r="R38">
            <v>0</v>
          </cell>
          <cell r="S38">
            <v>347858</v>
          </cell>
          <cell r="T38">
            <v>0</v>
          </cell>
          <cell r="U38">
            <v>0</v>
          </cell>
          <cell r="V38">
            <v>0</v>
          </cell>
          <cell r="W38">
            <v>0</v>
          </cell>
          <cell r="X38">
            <v>100</v>
          </cell>
          <cell r="Y38">
            <v>28</v>
          </cell>
          <cell r="Z38">
            <v>0</v>
          </cell>
          <cell r="AA38">
            <v>0</v>
          </cell>
          <cell r="AB38">
            <v>2.3E-3</v>
          </cell>
          <cell r="AC38">
            <v>362797</v>
          </cell>
          <cell r="AD38">
            <v>349621</v>
          </cell>
          <cell r="AE38">
            <v>349621</v>
          </cell>
          <cell r="AF38">
            <v>282</v>
          </cell>
          <cell r="AG38">
            <v>292.7</v>
          </cell>
          <cell r="AH38">
            <v>296.10000000000002</v>
          </cell>
          <cell r="AI38">
            <v>299</v>
          </cell>
          <cell r="AJ38">
            <v>0</v>
          </cell>
          <cell r="AM38">
            <v>0</v>
          </cell>
          <cell r="AN38">
            <v>0</v>
          </cell>
          <cell r="AO38">
            <v>297</v>
          </cell>
          <cell r="AQ38">
            <v>0</v>
          </cell>
          <cell r="AT38">
            <v>0</v>
          </cell>
          <cell r="AU38">
            <v>0</v>
          </cell>
          <cell r="AV38">
            <v>2731413</v>
          </cell>
          <cell r="AW38">
            <v>0</v>
          </cell>
          <cell r="AX38">
            <v>0</v>
          </cell>
          <cell r="AY38">
            <v>0</v>
          </cell>
          <cell r="AZ38">
            <v>1</v>
          </cell>
          <cell r="BA38">
            <v>1</v>
          </cell>
          <cell r="BB38">
            <v>0</v>
          </cell>
          <cell r="BC38">
            <v>0</v>
          </cell>
          <cell r="BE38">
            <v>2932049</v>
          </cell>
          <cell r="BF38">
            <v>1808</v>
          </cell>
          <cell r="BG38">
            <v>1480</v>
          </cell>
          <cell r="BH38">
            <v>33</v>
          </cell>
          <cell r="BI38">
            <v>48440410</v>
          </cell>
          <cell r="BJ38">
            <v>47904995</v>
          </cell>
          <cell r="BL38">
            <v>65</v>
          </cell>
          <cell r="BM38">
            <v>87</v>
          </cell>
          <cell r="BN38">
            <v>86</v>
          </cell>
          <cell r="BO38">
            <v>32</v>
          </cell>
          <cell r="BP38">
            <v>34</v>
          </cell>
          <cell r="BQ38">
            <v>24</v>
          </cell>
        </row>
        <row r="39">
          <cell r="A39">
            <v>225</v>
          </cell>
          <cell r="B39" t="str">
            <v>225 - Fowler</v>
          </cell>
          <cell r="C39" t="str">
            <v>Meade</v>
          </cell>
          <cell r="D39">
            <v>18536236</v>
          </cell>
          <cell r="E39">
            <v>16956408</v>
          </cell>
          <cell r="F39">
            <v>17978257</v>
          </cell>
          <cell r="G39">
            <v>15593441</v>
          </cell>
          <cell r="H39">
            <v>66</v>
          </cell>
          <cell r="I39">
            <v>69.7</v>
          </cell>
          <cell r="J39">
            <v>281</v>
          </cell>
          <cell r="K39">
            <v>1141749</v>
          </cell>
          <cell r="L39">
            <v>99</v>
          </cell>
          <cell r="M39">
            <v>67.5</v>
          </cell>
          <cell r="N39">
            <v>70.7</v>
          </cell>
          <cell r="O39">
            <v>82.5</v>
          </cell>
          <cell r="P39">
            <v>94889</v>
          </cell>
          <cell r="Q39">
            <v>59283</v>
          </cell>
          <cell r="R39">
            <v>0</v>
          </cell>
          <cell r="S39">
            <v>152787</v>
          </cell>
          <cell r="T39">
            <v>0</v>
          </cell>
          <cell r="U39">
            <v>0</v>
          </cell>
          <cell r="V39">
            <v>0</v>
          </cell>
          <cell r="W39">
            <v>0</v>
          </cell>
          <cell r="X39">
            <v>40</v>
          </cell>
          <cell r="Y39">
            <v>10</v>
          </cell>
          <cell r="Z39">
            <v>0</v>
          </cell>
          <cell r="AA39">
            <v>0</v>
          </cell>
          <cell r="AB39">
            <v>0</v>
          </cell>
          <cell r="AC39">
            <v>85327</v>
          </cell>
          <cell r="AD39">
            <v>74260</v>
          </cell>
          <cell r="AE39">
            <v>74260</v>
          </cell>
          <cell r="AF39">
            <v>99</v>
          </cell>
          <cell r="AG39">
            <v>67.5</v>
          </cell>
          <cell r="AH39">
            <v>70.7</v>
          </cell>
          <cell r="AI39">
            <v>82.5</v>
          </cell>
          <cell r="AJ39">
            <v>0</v>
          </cell>
          <cell r="AM39">
            <v>0</v>
          </cell>
          <cell r="AN39">
            <v>0</v>
          </cell>
          <cell r="AO39">
            <v>81.5</v>
          </cell>
          <cell r="AQ39">
            <v>0</v>
          </cell>
          <cell r="AT39">
            <v>0</v>
          </cell>
          <cell r="AU39">
            <v>0</v>
          </cell>
          <cell r="AV39">
            <v>1106292</v>
          </cell>
          <cell r="AW39">
            <v>0</v>
          </cell>
          <cell r="AX39">
            <v>0</v>
          </cell>
          <cell r="AY39">
            <v>0</v>
          </cell>
          <cell r="AZ39">
            <v>1</v>
          </cell>
          <cell r="BA39">
            <v>1</v>
          </cell>
          <cell r="BB39">
            <v>0</v>
          </cell>
          <cell r="BC39">
            <v>0</v>
          </cell>
          <cell r="BE39">
            <v>1081353</v>
          </cell>
          <cell r="BF39">
            <v>190</v>
          </cell>
          <cell r="BG39">
            <v>206</v>
          </cell>
          <cell r="BH39">
            <v>33</v>
          </cell>
          <cell r="BI39">
            <v>18536236</v>
          </cell>
          <cell r="BJ39">
            <v>17911943</v>
          </cell>
          <cell r="BL39">
            <v>40</v>
          </cell>
          <cell r="BM39">
            <v>39</v>
          </cell>
          <cell r="BN39">
            <v>35</v>
          </cell>
          <cell r="BO39">
            <v>25</v>
          </cell>
          <cell r="BP39">
            <v>3</v>
          </cell>
          <cell r="BQ39">
            <v>5</v>
          </cell>
        </row>
        <row r="40">
          <cell r="A40">
            <v>226</v>
          </cell>
          <cell r="B40" t="str">
            <v>226 - Meade</v>
          </cell>
          <cell r="C40" t="str">
            <v>Meade</v>
          </cell>
          <cell r="D40">
            <v>74024874</v>
          </cell>
          <cell r="E40">
            <v>70232293</v>
          </cell>
          <cell r="F40">
            <v>63925384</v>
          </cell>
          <cell r="G40">
            <v>58086663</v>
          </cell>
          <cell r="H40">
            <v>340</v>
          </cell>
          <cell r="I40">
            <v>328.9</v>
          </cell>
          <cell r="J40">
            <v>440</v>
          </cell>
          <cell r="K40">
            <v>3466121</v>
          </cell>
          <cell r="L40">
            <v>364</v>
          </cell>
          <cell r="M40">
            <v>344</v>
          </cell>
          <cell r="N40">
            <v>338.9</v>
          </cell>
          <cell r="O40">
            <v>307.89999999999998</v>
          </cell>
          <cell r="P40">
            <v>295683</v>
          </cell>
          <cell r="Q40">
            <v>283984</v>
          </cell>
          <cell r="R40">
            <v>0</v>
          </cell>
          <cell r="S40">
            <v>393594</v>
          </cell>
          <cell r="T40">
            <v>10727</v>
          </cell>
          <cell r="U40">
            <v>11497</v>
          </cell>
          <cell r="V40">
            <v>0</v>
          </cell>
          <cell r="W40">
            <v>0</v>
          </cell>
          <cell r="X40">
            <v>133</v>
          </cell>
          <cell r="Y40">
            <v>33</v>
          </cell>
          <cell r="Z40">
            <v>0</v>
          </cell>
          <cell r="AA40">
            <v>0</v>
          </cell>
          <cell r="AB40">
            <v>0</v>
          </cell>
          <cell r="AC40">
            <v>382165</v>
          </cell>
          <cell r="AD40">
            <v>325304</v>
          </cell>
          <cell r="AE40">
            <v>325304</v>
          </cell>
          <cell r="AF40">
            <v>364</v>
          </cell>
          <cell r="AG40">
            <v>344</v>
          </cell>
          <cell r="AH40">
            <v>338.9</v>
          </cell>
          <cell r="AI40">
            <v>307.89999999999998</v>
          </cell>
          <cell r="AJ40">
            <v>0</v>
          </cell>
          <cell r="AM40">
            <v>0</v>
          </cell>
          <cell r="AN40">
            <v>0</v>
          </cell>
          <cell r="AO40">
            <v>301.39999999999998</v>
          </cell>
          <cell r="AQ40">
            <v>0</v>
          </cell>
          <cell r="AT40">
            <v>0</v>
          </cell>
          <cell r="AU40">
            <v>0</v>
          </cell>
          <cell r="AV40">
            <v>3163935</v>
          </cell>
          <cell r="AW40">
            <v>0</v>
          </cell>
          <cell r="AX40">
            <v>0</v>
          </cell>
          <cell r="AY40">
            <v>0</v>
          </cell>
          <cell r="AZ40">
            <v>1</v>
          </cell>
          <cell r="BA40">
            <v>1</v>
          </cell>
          <cell r="BB40">
            <v>0</v>
          </cell>
          <cell r="BC40">
            <v>0</v>
          </cell>
          <cell r="BE40">
            <v>3177455</v>
          </cell>
          <cell r="BF40">
            <v>2732</v>
          </cell>
          <cell r="BG40">
            <v>2101</v>
          </cell>
          <cell r="BH40">
            <v>33</v>
          </cell>
          <cell r="BI40">
            <v>73608869</v>
          </cell>
          <cell r="BJ40">
            <v>63140129</v>
          </cell>
          <cell r="BL40">
            <v>104</v>
          </cell>
          <cell r="BM40">
            <v>150</v>
          </cell>
          <cell r="BN40">
            <v>124</v>
          </cell>
          <cell r="BO40">
            <v>54</v>
          </cell>
          <cell r="BP40">
            <v>68</v>
          </cell>
          <cell r="BQ40">
            <v>26</v>
          </cell>
        </row>
        <row r="41">
          <cell r="A41">
            <v>227</v>
          </cell>
          <cell r="B41" t="str">
            <v>227 - Hodgeman County Schools</v>
          </cell>
          <cell r="C41" t="str">
            <v>Hodgeman</v>
          </cell>
          <cell r="D41">
            <v>43217231</v>
          </cell>
          <cell r="E41">
            <v>39917852</v>
          </cell>
          <cell r="F41">
            <v>40068572</v>
          </cell>
          <cell r="G41">
            <v>34973420</v>
          </cell>
          <cell r="H41">
            <v>284</v>
          </cell>
          <cell r="I41">
            <v>268</v>
          </cell>
          <cell r="J41">
            <v>807.5</v>
          </cell>
          <cell r="K41">
            <v>2895567</v>
          </cell>
          <cell r="L41">
            <v>287</v>
          </cell>
          <cell r="M41">
            <v>284</v>
          </cell>
          <cell r="N41">
            <v>268</v>
          </cell>
          <cell r="O41">
            <v>266</v>
          </cell>
          <cell r="P41">
            <v>232228</v>
          </cell>
          <cell r="Q41">
            <v>219998</v>
          </cell>
          <cell r="R41">
            <v>40367</v>
          </cell>
          <cell r="S41">
            <v>320652</v>
          </cell>
          <cell r="T41">
            <v>0</v>
          </cell>
          <cell r="U41">
            <v>0</v>
          </cell>
          <cell r="V41">
            <v>0</v>
          </cell>
          <cell r="W41">
            <v>0</v>
          </cell>
          <cell r="X41">
            <v>70</v>
          </cell>
          <cell r="Y41">
            <v>34</v>
          </cell>
          <cell r="Z41">
            <v>0</v>
          </cell>
          <cell r="AA41">
            <v>0</v>
          </cell>
          <cell r="AB41">
            <v>4.1300000000000003E-2</v>
          </cell>
          <cell r="AC41">
            <v>282622</v>
          </cell>
          <cell r="AD41">
            <v>275696</v>
          </cell>
          <cell r="AE41">
            <v>275696</v>
          </cell>
          <cell r="AF41">
            <v>287</v>
          </cell>
          <cell r="AG41">
            <v>284</v>
          </cell>
          <cell r="AH41">
            <v>268</v>
          </cell>
          <cell r="AI41">
            <v>266</v>
          </cell>
          <cell r="AJ41">
            <v>0</v>
          </cell>
          <cell r="AM41">
            <v>0</v>
          </cell>
          <cell r="AN41">
            <v>0</v>
          </cell>
          <cell r="AO41">
            <v>266</v>
          </cell>
          <cell r="AQ41">
            <v>0</v>
          </cell>
          <cell r="AT41">
            <v>0</v>
          </cell>
          <cell r="AU41">
            <v>0</v>
          </cell>
          <cell r="AV41">
            <v>2605496</v>
          </cell>
          <cell r="AW41">
            <v>0</v>
          </cell>
          <cell r="AX41">
            <v>0</v>
          </cell>
          <cell r="AY41">
            <v>63008</v>
          </cell>
          <cell r="AZ41">
            <v>1</v>
          </cell>
          <cell r="BA41">
            <v>1</v>
          </cell>
          <cell r="BB41">
            <v>0</v>
          </cell>
          <cell r="BC41">
            <v>0</v>
          </cell>
          <cell r="BE41">
            <v>2647226</v>
          </cell>
          <cell r="BF41">
            <v>0</v>
          </cell>
          <cell r="BG41">
            <v>0</v>
          </cell>
          <cell r="BH41">
            <v>33</v>
          </cell>
          <cell r="BI41">
            <v>43663003</v>
          </cell>
          <cell r="BJ41">
            <v>40597243</v>
          </cell>
          <cell r="BL41">
            <v>68</v>
          </cell>
          <cell r="BM41">
            <v>94</v>
          </cell>
          <cell r="BN41">
            <v>76</v>
          </cell>
          <cell r="BO41">
            <v>30</v>
          </cell>
          <cell r="BP41">
            <v>18</v>
          </cell>
          <cell r="BQ41">
            <v>29</v>
          </cell>
        </row>
        <row r="42">
          <cell r="A42">
            <v>229</v>
          </cell>
          <cell r="B42" t="str">
            <v>229 - Blue Valley</v>
          </cell>
          <cell r="C42" t="str">
            <v>Johnson</v>
          </cell>
          <cell r="D42">
            <v>4298558410</v>
          </cell>
          <cell r="E42">
            <v>4105654845</v>
          </cell>
          <cell r="F42">
            <v>4567746411</v>
          </cell>
          <cell r="G42">
            <v>4203877545</v>
          </cell>
          <cell r="H42">
            <v>21810.2</v>
          </cell>
          <cell r="I42">
            <v>21853.8</v>
          </cell>
          <cell r="J42">
            <v>91</v>
          </cell>
          <cell r="K42">
            <v>184069741</v>
          </cell>
          <cell r="L42">
            <v>21976</v>
          </cell>
          <cell r="M42">
            <v>21888.3</v>
          </cell>
          <cell r="N42">
            <v>21913.4</v>
          </cell>
          <cell r="O42">
            <v>21779.7</v>
          </cell>
          <cell r="P42">
            <v>28149347</v>
          </cell>
          <cell r="Q42">
            <v>35257504</v>
          </cell>
          <cell r="R42">
            <v>0</v>
          </cell>
          <cell r="S42">
            <v>19935033</v>
          </cell>
          <cell r="T42">
            <v>0</v>
          </cell>
          <cell r="U42">
            <v>0</v>
          </cell>
          <cell r="V42">
            <v>0</v>
          </cell>
          <cell r="W42">
            <v>0</v>
          </cell>
          <cell r="X42">
            <v>1974</v>
          </cell>
          <cell r="Y42">
            <v>594</v>
          </cell>
          <cell r="Z42">
            <v>0</v>
          </cell>
          <cell r="AA42">
            <v>0</v>
          </cell>
          <cell r="AB42">
            <v>0</v>
          </cell>
          <cell r="AC42">
            <v>24035997</v>
          </cell>
          <cell r="AD42">
            <v>24458242</v>
          </cell>
          <cell r="AE42">
            <v>24458242</v>
          </cell>
          <cell r="AF42">
            <v>21823.200000000001</v>
          </cell>
          <cell r="AG42">
            <v>21810.2</v>
          </cell>
          <cell r="AH42">
            <v>21853.8</v>
          </cell>
          <cell r="AI42">
            <v>21749.9</v>
          </cell>
          <cell r="AJ42">
            <v>7.7200000000000005E-2</v>
          </cell>
          <cell r="AM42">
            <v>0</v>
          </cell>
          <cell r="AN42">
            <v>0</v>
          </cell>
          <cell r="AO42">
            <v>21749.9</v>
          </cell>
          <cell r="AQ42">
            <v>0</v>
          </cell>
          <cell r="AT42">
            <v>0</v>
          </cell>
          <cell r="AU42">
            <v>0</v>
          </cell>
          <cell r="AV42">
            <v>140780862</v>
          </cell>
          <cell r="AW42">
            <v>0</v>
          </cell>
          <cell r="AX42">
            <v>0</v>
          </cell>
          <cell r="AY42">
            <v>0</v>
          </cell>
          <cell r="AZ42">
            <v>1</v>
          </cell>
          <cell r="BA42">
            <v>1</v>
          </cell>
          <cell r="BB42">
            <v>577700</v>
          </cell>
          <cell r="BC42">
            <v>582870</v>
          </cell>
          <cell r="BE42">
            <v>148776152</v>
          </cell>
          <cell r="BF42">
            <v>103119</v>
          </cell>
          <cell r="BG42">
            <v>101334</v>
          </cell>
          <cell r="BH42">
            <v>33</v>
          </cell>
          <cell r="BI42">
            <v>4317606543</v>
          </cell>
          <cell r="BJ42">
            <v>4594832843</v>
          </cell>
          <cell r="BL42">
            <v>901</v>
          </cell>
          <cell r="BM42">
            <v>1866</v>
          </cell>
          <cell r="BN42">
            <v>1975</v>
          </cell>
          <cell r="BO42">
            <v>620</v>
          </cell>
          <cell r="BP42">
            <v>559</v>
          </cell>
          <cell r="BQ42">
            <v>571</v>
          </cell>
        </row>
        <row r="43">
          <cell r="A43">
            <v>230</v>
          </cell>
          <cell r="B43" t="str">
            <v>230 - Spring Hill</v>
          </cell>
          <cell r="C43" t="str">
            <v>Johnson</v>
          </cell>
          <cell r="D43">
            <v>477348826</v>
          </cell>
          <cell r="E43">
            <v>439600898</v>
          </cell>
          <cell r="F43">
            <v>537277479</v>
          </cell>
          <cell r="G43">
            <v>487982725</v>
          </cell>
          <cell r="H43">
            <v>3654</v>
          </cell>
          <cell r="I43">
            <v>3840.4</v>
          </cell>
          <cell r="J43">
            <v>71</v>
          </cell>
          <cell r="K43">
            <v>43817590</v>
          </cell>
          <cell r="L43">
            <v>5290.1</v>
          </cell>
          <cell r="M43">
            <v>5235.2</v>
          </cell>
          <cell r="N43">
            <v>5518.2</v>
          </cell>
          <cell r="O43">
            <v>5681.7</v>
          </cell>
          <cell r="P43">
            <v>4138323</v>
          </cell>
          <cell r="Q43">
            <v>4591515</v>
          </cell>
          <cell r="R43">
            <v>5930973</v>
          </cell>
          <cell r="S43">
            <v>1621297</v>
          </cell>
          <cell r="T43">
            <v>0</v>
          </cell>
          <cell r="U43">
            <v>0</v>
          </cell>
          <cell r="V43">
            <v>0</v>
          </cell>
          <cell r="W43">
            <v>0.36</v>
          </cell>
          <cell r="X43">
            <v>524</v>
          </cell>
          <cell r="Y43">
            <v>342</v>
          </cell>
          <cell r="Z43">
            <v>0.36</v>
          </cell>
          <cell r="AA43">
            <v>0</v>
          </cell>
          <cell r="AB43">
            <v>0.46450000000000002</v>
          </cell>
          <cell r="AC43">
            <v>4402365</v>
          </cell>
          <cell r="AD43">
            <v>4450050</v>
          </cell>
          <cell r="AE43">
            <v>4450050</v>
          </cell>
          <cell r="AF43">
            <v>3578.7</v>
          </cell>
          <cell r="AG43">
            <v>3668</v>
          </cell>
          <cell r="AH43">
            <v>3858.9</v>
          </cell>
          <cell r="AI43">
            <v>4016.3</v>
          </cell>
          <cell r="AJ43">
            <v>7.7200000000000005E-2</v>
          </cell>
          <cell r="AM43">
            <v>52</v>
          </cell>
          <cell r="AN43">
            <v>0</v>
          </cell>
          <cell r="AO43">
            <v>3993.3</v>
          </cell>
          <cell r="AQ43">
            <v>0</v>
          </cell>
          <cell r="AT43">
            <v>0</v>
          </cell>
          <cell r="AU43">
            <v>0</v>
          </cell>
          <cell r="AV43">
            <v>36054733</v>
          </cell>
          <cell r="AW43">
            <v>1845034</v>
          </cell>
          <cell r="AX43">
            <v>1992215</v>
          </cell>
          <cell r="AY43">
            <v>5829911</v>
          </cell>
          <cell r="AZ43">
            <v>1</v>
          </cell>
          <cell r="BA43">
            <v>1</v>
          </cell>
          <cell r="BB43">
            <v>0</v>
          </cell>
          <cell r="BC43">
            <v>0</v>
          </cell>
          <cell r="BE43">
            <v>39226075</v>
          </cell>
          <cell r="BF43">
            <v>31291</v>
          </cell>
          <cell r="BG43">
            <v>36287</v>
          </cell>
          <cell r="BH43">
            <v>33</v>
          </cell>
          <cell r="BI43">
            <v>480958580</v>
          </cell>
          <cell r="BJ43">
            <v>370568900</v>
          </cell>
          <cell r="BL43">
            <v>306</v>
          </cell>
          <cell r="BM43">
            <v>481</v>
          </cell>
          <cell r="BN43">
            <v>539</v>
          </cell>
          <cell r="BO43">
            <v>432</v>
          </cell>
          <cell r="BP43">
            <v>353</v>
          </cell>
          <cell r="BQ43">
            <v>365</v>
          </cell>
        </row>
        <row r="44">
          <cell r="A44">
            <v>231</v>
          </cell>
          <cell r="B44" t="str">
            <v>231 - Gardner Edgerton</v>
          </cell>
          <cell r="C44" t="str">
            <v>Johnson</v>
          </cell>
          <cell r="D44">
            <v>507283534</v>
          </cell>
          <cell r="E44">
            <v>465140200</v>
          </cell>
          <cell r="F44">
            <v>574252771</v>
          </cell>
          <cell r="G44">
            <v>498932200</v>
          </cell>
          <cell r="H44">
            <v>5762.7</v>
          </cell>
          <cell r="I44">
            <v>5676.4</v>
          </cell>
          <cell r="J44">
            <v>103</v>
          </cell>
          <cell r="K44">
            <v>50322484</v>
          </cell>
          <cell r="L44">
            <v>5698.7</v>
          </cell>
          <cell r="M44">
            <v>5771.7</v>
          </cell>
          <cell r="N44">
            <v>5696.9</v>
          </cell>
          <cell r="O44">
            <v>5658.8</v>
          </cell>
          <cell r="P44">
            <v>8972779</v>
          </cell>
          <cell r="Q44">
            <v>10460831</v>
          </cell>
          <cell r="R44">
            <v>8258539</v>
          </cell>
          <cell r="S44">
            <v>4523118</v>
          </cell>
          <cell r="T44">
            <v>669</v>
          </cell>
          <cell r="U44">
            <v>990</v>
          </cell>
          <cell r="V44">
            <v>0</v>
          </cell>
          <cell r="W44">
            <v>0.08</v>
          </cell>
          <cell r="X44">
            <v>1747</v>
          </cell>
          <cell r="Y44">
            <v>543</v>
          </cell>
          <cell r="Z44">
            <v>0.3</v>
          </cell>
          <cell r="AA44">
            <v>0</v>
          </cell>
          <cell r="AB44">
            <v>0.4451</v>
          </cell>
          <cell r="AC44">
            <v>6626159</v>
          </cell>
          <cell r="AD44">
            <v>6974441</v>
          </cell>
          <cell r="AE44">
            <v>6974441</v>
          </cell>
          <cell r="AF44">
            <v>5698.7</v>
          </cell>
          <cell r="AG44">
            <v>5771.7</v>
          </cell>
          <cell r="AH44">
            <v>5696.9</v>
          </cell>
          <cell r="AI44">
            <v>5658.8</v>
          </cell>
          <cell r="AJ44">
            <v>2.1600000000000001E-2</v>
          </cell>
          <cell r="AM44">
            <v>36</v>
          </cell>
          <cell r="AN44">
            <v>0</v>
          </cell>
          <cell r="AO44">
            <v>5633.3</v>
          </cell>
          <cell r="AQ44">
            <v>0</v>
          </cell>
          <cell r="AT44">
            <v>0</v>
          </cell>
          <cell r="AU44">
            <v>0</v>
          </cell>
          <cell r="AV44">
            <v>38456539</v>
          </cell>
          <cell r="AW44">
            <v>1510875</v>
          </cell>
          <cell r="AX44">
            <v>1439971</v>
          </cell>
          <cell r="AY44">
            <v>8160041</v>
          </cell>
          <cell r="AZ44">
            <v>1</v>
          </cell>
          <cell r="BA44">
            <v>1</v>
          </cell>
          <cell r="BB44">
            <v>99460</v>
          </cell>
          <cell r="BC44">
            <v>109770</v>
          </cell>
          <cell r="BE44">
            <v>39861653</v>
          </cell>
          <cell r="BF44">
            <v>41806</v>
          </cell>
          <cell r="BG44">
            <v>44986</v>
          </cell>
          <cell r="BH44">
            <v>33</v>
          </cell>
          <cell r="BI44">
            <v>609223927</v>
          </cell>
          <cell r="BJ44">
            <v>676057241</v>
          </cell>
          <cell r="BL44">
            <v>1089</v>
          </cell>
          <cell r="BM44">
            <v>1725</v>
          </cell>
          <cell r="BN44">
            <v>1869</v>
          </cell>
          <cell r="BO44">
            <v>523</v>
          </cell>
          <cell r="BP44">
            <v>594</v>
          </cell>
          <cell r="BQ44">
            <v>390</v>
          </cell>
        </row>
        <row r="45">
          <cell r="A45">
            <v>232</v>
          </cell>
          <cell r="B45" t="str">
            <v>232 - De Soto</v>
          </cell>
          <cell r="C45" t="str">
            <v>Johnson</v>
          </cell>
          <cell r="D45">
            <v>834304444</v>
          </cell>
          <cell r="E45">
            <v>773308552</v>
          </cell>
          <cell r="F45">
            <v>931256103</v>
          </cell>
          <cell r="G45">
            <v>820857481</v>
          </cell>
          <cell r="H45">
            <v>7257.6</v>
          </cell>
          <cell r="I45">
            <v>7160.1</v>
          </cell>
          <cell r="J45">
            <v>100</v>
          </cell>
          <cell r="K45">
            <v>57817728</v>
          </cell>
          <cell r="L45">
            <v>7261.5</v>
          </cell>
          <cell r="M45">
            <v>7296.3</v>
          </cell>
          <cell r="N45">
            <v>7214.6</v>
          </cell>
          <cell r="O45">
            <v>7138.2</v>
          </cell>
          <cell r="P45">
            <v>6810872</v>
          </cell>
          <cell r="Q45">
            <v>8168550</v>
          </cell>
          <cell r="R45">
            <v>6565699</v>
          </cell>
          <cell r="S45">
            <v>4437654</v>
          </cell>
          <cell r="T45">
            <v>14990</v>
          </cell>
          <cell r="U45">
            <v>11376</v>
          </cell>
          <cell r="V45">
            <v>0</v>
          </cell>
          <cell r="W45">
            <v>0.03</v>
          </cell>
          <cell r="X45">
            <v>1012</v>
          </cell>
          <cell r="Y45">
            <v>278</v>
          </cell>
          <cell r="Z45">
            <v>0.06</v>
          </cell>
          <cell r="AA45">
            <v>0</v>
          </cell>
          <cell r="AB45">
            <v>0.2913</v>
          </cell>
          <cell r="AC45">
            <v>7230464</v>
          </cell>
          <cell r="AD45">
            <v>7058974</v>
          </cell>
          <cell r="AE45">
            <v>7058974</v>
          </cell>
          <cell r="AF45">
            <v>7253.8</v>
          </cell>
          <cell r="AG45">
            <v>7286.1</v>
          </cell>
          <cell r="AH45">
            <v>7192.1</v>
          </cell>
          <cell r="AI45">
            <v>7124</v>
          </cell>
          <cell r="AJ45">
            <v>7.4800000000000005E-2</v>
          </cell>
          <cell r="AM45">
            <v>29</v>
          </cell>
          <cell r="AN45">
            <v>0</v>
          </cell>
          <cell r="AO45">
            <v>7100.5</v>
          </cell>
          <cell r="AQ45">
            <v>0</v>
          </cell>
          <cell r="AT45">
            <v>0</v>
          </cell>
          <cell r="AU45">
            <v>0</v>
          </cell>
          <cell r="AV45">
            <v>46179798</v>
          </cell>
          <cell r="AW45">
            <v>1478837</v>
          </cell>
          <cell r="AX45">
            <v>1106885</v>
          </cell>
          <cell r="AY45">
            <v>6512398</v>
          </cell>
          <cell r="AZ45">
            <v>1</v>
          </cell>
          <cell r="BA45">
            <v>0.94</v>
          </cell>
          <cell r="BB45">
            <v>121410</v>
          </cell>
          <cell r="BC45">
            <v>121950</v>
          </cell>
          <cell r="BE45">
            <v>49649178</v>
          </cell>
          <cell r="BF45">
            <v>17666</v>
          </cell>
          <cell r="BG45">
            <v>22795</v>
          </cell>
          <cell r="BH45">
            <v>33</v>
          </cell>
          <cell r="BI45">
            <v>841194578</v>
          </cell>
          <cell r="BJ45">
            <v>924309427</v>
          </cell>
          <cell r="BL45">
            <v>488</v>
          </cell>
          <cell r="BM45">
            <v>831</v>
          </cell>
          <cell r="BN45">
            <v>920</v>
          </cell>
          <cell r="BO45">
            <v>249</v>
          </cell>
          <cell r="BP45">
            <v>215</v>
          </cell>
          <cell r="BQ45">
            <v>259</v>
          </cell>
        </row>
        <row r="46">
          <cell r="A46">
            <v>233</v>
          </cell>
          <cell r="B46" t="str">
            <v>233 - Olathe</v>
          </cell>
          <cell r="C46" t="str">
            <v>Johnson</v>
          </cell>
          <cell r="D46">
            <v>3482378347</v>
          </cell>
          <cell r="E46">
            <v>3246594976</v>
          </cell>
          <cell r="F46">
            <v>3673432793</v>
          </cell>
          <cell r="G46">
            <v>3229403528</v>
          </cell>
          <cell r="H46">
            <v>28106.799999999999</v>
          </cell>
          <cell r="I46">
            <v>27708.7</v>
          </cell>
          <cell r="J46">
            <v>75.3</v>
          </cell>
          <cell r="K46">
            <v>246584307</v>
          </cell>
          <cell r="L46">
            <v>28459.3</v>
          </cell>
          <cell r="M46">
            <v>28261.5</v>
          </cell>
          <cell r="N46">
            <v>27853.200000000001</v>
          </cell>
          <cell r="O46">
            <v>27522.3</v>
          </cell>
          <cell r="P46">
            <v>35574214</v>
          </cell>
          <cell r="Q46">
            <v>41963284</v>
          </cell>
          <cell r="R46">
            <v>23652416</v>
          </cell>
          <cell r="S46">
            <v>27522172</v>
          </cell>
          <cell r="T46">
            <v>0</v>
          </cell>
          <cell r="U46">
            <v>0</v>
          </cell>
          <cell r="V46">
            <v>0</v>
          </cell>
          <cell r="W46">
            <v>0</v>
          </cell>
          <cell r="X46">
            <v>6383</v>
          </cell>
          <cell r="Y46">
            <v>1294</v>
          </cell>
          <cell r="Z46">
            <v>0</v>
          </cell>
          <cell r="AA46">
            <v>0</v>
          </cell>
          <cell r="AB46">
            <v>0.2409</v>
          </cell>
          <cell r="AC46">
            <v>31649380</v>
          </cell>
          <cell r="AD46">
            <v>33996343</v>
          </cell>
          <cell r="AE46">
            <v>33996343</v>
          </cell>
          <cell r="AF46">
            <v>28119.4</v>
          </cell>
          <cell r="AG46">
            <v>28185.3</v>
          </cell>
          <cell r="AH46">
            <v>27764.7</v>
          </cell>
          <cell r="AI46">
            <v>27423.599999999999</v>
          </cell>
          <cell r="AJ46">
            <v>5.5800000000000002E-2</v>
          </cell>
          <cell r="AM46">
            <v>136</v>
          </cell>
          <cell r="AN46">
            <v>0</v>
          </cell>
          <cell r="AO46">
            <v>27369.1</v>
          </cell>
          <cell r="AQ46">
            <v>0</v>
          </cell>
          <cell r="AT46">
            <v>0</v>
          </cell>
          <cell r="AU46">
            <v>0</v>
          </cell>
          <cell r="AV46">
            <v>197988876</v>
          </cell>
          <cell r="AW46">
            <v>3968024</v>
          </cell>
          <cell r="AX46">
            <v>1507056</v>
          </cell>
          <cell r="AY46">
            <v>24700378</v>
          </cell>
          <cell r="AZ46">
            <v>1</v>
          </cell>
          <cell r="BA46">
            <v>0.99</v>
          </cell>
          <cell r="BB46">
            <v>1408383</v>
          </cell>
          <cell r="BC46">
            <v>546500</v>
          </cell>
          <cell r="BE46">
            <v>204621023</v>
          </cell>
          <cell r="BF46">
            <v>64992</v>
          </cell>
          <cell r="BG46">
            <v>59826</v>
          </cell>
          <cell r="BH46">
            <v>33</v>
          </cell>
          <cell r="BI46">
            <v>3542878949</v>
          </cell>
          <cell r="BJ46">
            <v>3994322703</v>
          </cell>
          <cell r="BL46">
            <v>5088</v>
          </cell>
          <cell r="BM46">
            <v>7115</v>
          </cell>
          <cell r="BN46">
            <v>7081</v>
          </cell>
          <cell r="BO46">
            <v>1778</v>
          </cell>
          <cell r="BP46">
            <v>1442</v>
          </cell>
          <cell r="BQ46">
            <v>1434</v>
          </cell>
        </row>
        <row r="47">
          <cell r="A47">
            <v>234</v>
          </cell>
          <cell r="B47" t="str">
            <v>234 - Fort Scott</v>
          </cell>
          <cell r="C47" t="str">
            <v>Bourbon</v>
          </cell>
          <cell r="D47">
            <v>98347273</v>
          </cell>
          <cell r="E47">
            <v>78548092</v>
          </cell>
          <cell r="F47">
            <v>106059283</v>
          </cell>
          <cell r="G47">
            <v>75517624</v>
          </cell>
          <cell r="H47">
            <v>1727.8</v>
          </cell>
          <cell r="I47">
            <v>1659.9</v>
          </cell>
          <cell r="J47">
            <v>300</v>
          </cell>
          <cell r="K47">
            <v>15632362</v>
          </cell>
          <cell r="L47">
            <v>1774.5</v>
          </cell>
          <cell r="M47">
            <v>1769.8</v>
          </cell>
          <cell r="N47">
            <v>1696.3</v>
          </cell>
          <cell r="O47">
            <v>1640.1</v>
          </cell>
          <cell r="P47">
            <v>2272832</v>
          </cell>
          <cell r="Q47">
            <v>2492076</v>
          </cell>
          <cell r="R47">
            <v>3431255</v>
          </cell>
          <cell r="S47">
            <v>1149929</v>
          </cell>
          <cell r="T47">
            <v>0</v>
          </cell>
          <cell r="U47">
            <v>0</v>
          </cell>
          <cell r="V47">
            <v>0.22</v>
          </cell>
          <cell r="W47">
            <v>0.69</v>
          </cell>
          <cell r="X47">
            <v>874</v>
          </cell>
          <cell r="Y47">
            <v>88</v>
          </cell>
          <cell r="Z47">
            <v>0.68</v>
          </cell>
          <cell r="AA47">
            <v>0.13</v>
          </cell>
          <cell r="AB47">
            <v>0.64490000000000003</v>
          </cell>
          <cell r="AC47">
            <v>2190392</v>
          </cell>
          <cell r="AD47">
            <v>2025229</v>
          </cell>
          <cell r="AE47">
            <v>2025229</v>
          </cell>
          <cell r="AF47">
            <v>1764.2</v>
          </cell>
          <cell r="AG47">
            <v>1756.8</v>
          </cell>
          <cell r="AH47">
            <v>1681.9</v>
          </cell>
          <cell r="AI47">
            <v>1623.1</v>
          </cell>
          <cell r="AJ47">
            <v>0</v>
          </cell>
          <cell r="AM47">
            <v>3</v>
          </cell>
          <cell r="AN47">
            <v>0</v>
          </cell>
          <cell r="AO47">
            <v>1602.1</v>
          </cell>
          <cell r="AQ47">
            <v>0</v>
          </cell>
          <cell r="AT47">
            <v>0</v>
          </cell>
          <cell r="AU47">
            <v>0</v>
          </cell>
          <cell r="AV47">
            <v>13020317</v>
          </cell>
          <cell r="AW47">
            <v>570683</v>
          </cell>
          <cell r="AX47">
            <v>631943</v>
          </cell>
          <cell r="AY47">
            <v>3213009</v>
          </cell>
          <cell r="AZ47">
            <v>1</v>
          </cell>
          <cell r="BA47">
            <v>1</v>
          </cell>
          <cell r="BB47">
            <v>0</v>
          </cell>
          <cell r="BC47">
            <v>0</v>
          </cell>
          <cell r="BE47">
            <v>13140286</v>
          </cell>
          <cell r="BF47">
            <v>1796</v>
          </cell>
          <cell r="BG47">
            <v>3177</v>
          </cell>
          <cell r="BH47">
            <v>33</v>
          </cell>
          <cell r="BI47">
            <v>95641111</v>
          </cell>
          <cell r="BJ47">
            <v>102639415</v>
          </cell>
          <cell r="BL47">
            <v>855</v>
          </cell>
          <cell r="BM47">
            <v>960</v>
          </cell>
          <cell r="BN47">
            <v>960</v>
          </cell>
          <cell r="BO47">
            <v>192</v>
          </cell>
          <cell r="BP47">
            <v>166</v>
          </cell>
          <cell r="BQ47">
            <v>128</v>
          </cell>
        </row>
        <row r="48">
          <cell r="A48">
            <v>235</v>
          </cell>
          <cell r="B48" t="str">
            <v>235 - Uniontown</v>
          </cell>
          <cell r="C48" t="str">
            <v>Bourbon</v>
          </cell>
          <cell r="D48">
            <v>22878531</v>
          </cell>
          <cell r="E48">
            <v>19128466</v>
          </cell>
          <cell r="F48">
            <v>22763642</v>
          </cell>
          <cell r="G48">
            <v>17237313</v>
          </cell>
          <cell r="H48">
            <v>447</v>
          </cell>
          <cell r="I48">
            <v>436.5</v>
          </cell>
          <cell r="J48">
            <v>309</v>
          </cell>
          <cell r="K48">
            <v>5063071</v>
          </cell>
          <cell r="L48">
            <v>462</v>
          </cell>
          <cell r="M48">
            <v>458.8</v>
          </cell>
          <cell r="N48">
            <v>444.5</v>
          </cell>
          <cell r="O48">
            <v>412.8</v>
          </cell>
          <cell r="P48">
            <v>517998</v>
          </cell>
          <cell r="Q48">
            <v>545673</v>
          </cell>
          <cell r="R48">
            <v>1139528</v>
          </cell>
          <cell r="S48">
            <v>371669</v>
          </cell>
          <cell r="T48">
            <v>20115</v>
          </cell>
          <cell r="U48">
            <v>31670</v>
          </cell>
          <cell r="V48">
            <v>0.3</v>
          </cell>
          <cell r="W48">
            <v>0.77</v>
          </cell>
          <cell r="X48">
            <v>233</v>
          </cell>
          <cell r="Y48">
            <v>37</v>
          </cell>
          <cell r="Z48">
            <v>0.76</v>
          </cell>
          <cell r="AA48">
            <v>0.21</v>
          </cell>
          <cell r="AB48">
            <v>0.68059999999999998</v>
          </cell>
          <cell r="AC48">
            <v>475609</v>
          </cell>
          <cell r="AD48">
            <v>477159</v>
          </cell>
          <cell r="AE48">
            <v>477159</v>
          </cell>
          <cell r="AF48">
            <v>458</v>
          </cell>
          <cell r="AG48">
            <v>456</v>
          </cell>
          <cell r="AH48">
            <v>441.5</v>
          </cell>
          <cell r="AI48">
            <v>411.8</v>
          </cell>
          <cell r="AJ48">
            <v>0</v>
          </cell>
          <cell r="AM48">
            <v>0</v>
          </cell>
          <cell r="AN48">
            <v>0</v>
          </cell>
          <cell r="AO48">
            <v>407.8</v>
          </cell>
          <cell r="AQ48">
            <v>0</v>
          </cell>
          <cell r="AT48">
            <v>0</v>
          </cell>
          <cell r="AU48">
            <v>0</v>
          </cell>
          <cell r="AV48">
            <v>4484041</v>
          </cell>
          <cell r="AW48">
            <v>142591</v>
          </cell>
          <cell r="AX48">
            <v>149156</v>
          </cell>
          <cell r="AY48">
            <v>1118889</v>
          </cell>
          <cell r="AZ48">
            <v>1</v>
          </cell>
          <cell r="BA48">
            <v>1</v>
          </cell>
          <cell r="BB48">
            <v>0</v>
          </cell>
          <cell r="BC48">
            <v>0</v>
          </cell>
          <cell r="BE48">
            <v>4516939</v>
          </cell>
          <cell r="BF48">
            <v>523</v>
          </cell>
          <cell r="BG48">
            <v>400</v>
          </cell>
          <cell r="BH48">
            <v>33</v>
          </cell>
          <cell r="BI48">
            <v>22878531</v>
          </cell>
          <cell r="BJ48">
            <v>22763642</v>
          </cell>
          <cell r="BL48">
            <v>201</v>
          </cell>
          <cell r="BM48">
            <v>274</v>
          </cell>
          <cell r="BN48">
            <v>266</v>
          </cell>
          <cell r="BO48">
            <v>63</v>
          </cell>
          <cell r="BP48">
            <v>36</v>
          </cell>
          <cell r="BQ48">
            <v>37</v>
          </cell>
        </row>
        <row r="49">
          <cell r="A49">
            <v>237</v>
          </cell>
          <cell r="B49" t="str">
            <v>237 - Smith Center</v>
          </cell>
          <cell r="C49" t="str">
            <v>Smith</v>
          </cell>
          <cell r="D49">
            <v>53054940</v>
          </cell>
          <cell r="E49">
            <v>47235719</v>
          </cell>
          <cell r="F49">
            <v>56906303</v>
          </cell>
          <cell r="G49">
            <v>48183714</v>
          </cell>
          <cell r="H49">
            <v>424.5</v>
          </cell>
          <cell r="I49">
            <v>425.5</v>
          </cell>
          <cell r="J49">
            <v>599</v>
          </cell>
          <cell r="K49">
            <v>4749850</v>
          </cell>
          <cell r="L49">
            <v>435.5</v>
          </cell>
          <cell r="M49">
            <v>435</v>
          </cell>
          <cell r="N49">
            <v>436.5</v>
          </cell>
          <cell r="O49">
            <v>419.2</v>
          </cell>
          <cell r="P49">
            <v>553260</v>
          </cell>
          <cell r="Q49">
            <v>618003</v>
          </cell>
          <cell r="R49">
            <v>356498</v>
          </cell>
          <cell r="S49">
            <v>586035</v>
          </cell>
          <cell r="T49">
            <v>0</v>
          </cell>
          <cell r="U49">
            <v>0</v>
          </cell>
          <cell r="V49">
            <v>0</v>
          </cell>
          <cell r="W49">
            <v>0</v>
          </cell>
          <cell r="X49">
            <v>172</v>
          </cell>
          <cell r="Y49">
            <v>53</v>
          </cell>
          <cell r="Z49">
            <v>0</v>
          </cell>
          <cell r="AA49">
            <v>0</v>
          </cell>
          <cell r="AB49">
            <v>0.2117</v>
          </cell>
          <cell r="AC49">
            <v>406699</v>
          </cell>
          <cell r="AD49">
            <v>362885</v>
          </cell>
          <cell r="AE49">
            <v>362885</v>
          </cell>
          <cell r="AF49">
            <v>435.5</v>
          </cell>
          <cell r="AG49">
            <v>435</v>
          </cell>
          <cell r="AH49">
            <v>436.5</v>
          </cell>
          <cell r="AI49">
            <v>419.2</v>
          </cell>
          <cell r="AJ49">
            <v>0</v>
          </cell>
          <cell r="AM49">
            <v>0</v>
          </cell>
          <cell r="AN49">
            <v>0</v>
          </cell>
          <cell r="AO49">
            <v>409.2</v>
          </cell>
          <cell r="AQ49">
            <v>0</v>
          </cell>
          <cell r="AT49">
            <v>0</v>
          </cell>
          <cell r="AU49">
            <v>0</v>
          </cell>
          <cell r="AV49">
            <v>3981166</v>
          </cell>
          <cell r="AW49">
            <v>16978</v>
          </cell>
          <cell r="AX49">
            <v>45143</v>
          </cell>
          <cell r="AY49">
            <v>262812</v>
          </cell>
          <cell r="AZ49">
            <v>1</v>
          </cell>
          <cell r="BA49">
            <v>1</v>
          </cell>
          <cell r="BB49">
            <v>0</v>
          </cell>
          <cell r="BC49">
            <v>0</v>
          </cell>
          <cell r="BE49">
            <v>4131847</v>
          </cell>
          <cell r="BF49">
            <v>400</v>
          </cell>
          <cell r="BG49">
            <v>527</v>
          </cell>
          <cell r="BH49">
            <v>33</v>
          </cell>
          <cell r="BI49">
            <v>53054940</v>
          </cell>
          <cell r="BJ49">
            <v>56854695</v>
          </cell>
          <cell r="BL49">
            <v>127</v>
          </cell>
          <cell r="BM49">
            <v>177</v>
          </cell>
          <cell r="BN49">
            <v>176</v>
          </cell>
          <cell r="BO49">
            <v>57</v>
          </cell>
          <cell r="BP49">
            <v>45</v>
          </cell>
          <cell r="BQ49">
            <v>45</v>
          </cell>
        </row>
        <row r="50">
          <cell r="A50">
            <v>239</v>
          </cell>
          <cell r="B50" t="str">
            <v>239 - North Ottawa County</v>
          </cell>
          <cell r="C50" t="str">
            <v>Ottawa</v>
          </cell>
          <cell r="D50">
            <v>53148812</v>
          </cell>
          <cell r="E50">
            <v>46797569</v>
          </cell>
          <cell r="F50">
            <v>52829161</v>
          </cell>
          <cell r="G50">
            <v>42494187</v>
          </cell>
          <cell r="H50">
            <v>620.4</v>
          </cell>
          <cell r="I50">
            <v>617.1</v>
          </cell>
          <cell r="J50">
            <v>418.5</v>
          </cell>
          <cell r="K50">
            <v>6324528</v>
          </cell>
          <cell r="L50">
            <v>633.5</v>
          </cell>
          <cell r="M50">
            <v>620.4</v>
          </cell>
          <cell r="N50">
            <v>617.1</v>
          </cell>
          <cell r="O50">
            <v>593.5</v>
          </cell>
          <cell r="P50">
            <v>733173</v>
          </cell>
          <cell r="Q50">
            <v>805223</v>
          </cell>
          <cell r="R50">
            <v>997734</v>
          </cell>
          <cell r="S50">
            <v>614442</v>
          </cell>
          <cell r="T50">
            <v>13280</v>
          </cell>
          <cell r="U50">
            <v>13659</v>
          </cell>
          <cell r="V50">
            <v>0</v>
          </cell>
          <cell r="W50">
            <v>0.43</v>
          </cell>
          <cell r="X50">
            <v>231</v>
          </cell>
          <cell r="Y50">
            <v>40</v>
          </cell>
          <cell r="Z50">
            <v>0.42</v>
          </cell>
          <cell r="AA50">
            <v>0</v>
          </cell>
          <cell r="AB50">
            <v>0.46579999999999999</v>
          </cell>
          <cell r="AC50">
            <v>594989</v>
          </cell>
          <cell r="AD50">
            <v>565038</v>
          </cell>
          <cell r="AE50">
            <v>565038</v>
          </cell>
          <cell r="AF50">
            <v>633.5</v>
          </cell>
          <cell r="AG50">
            <v>620.4</v>
          </cell>
          <cell r="AH50">
            <v>617.1</v>
          </cell>
          <cell r="AI50">
            <v>593.5</v>
          </cell>
          <cell r="AJ50">
            <v>0</v>
          </cell>
          <cell r="AM50">
            <v>0</v>
          </cell>
          <cell r="AN50">
            <v>0</v>
          </cell>
          <cell r="AO50">
            <v>593.5</v>
          </cell>
          <cell r="AQ50">
            <v>0</v>
          </cell>
          <cell r="AT50">
            <v>0</v>
          </cell>
          <cell r="AU50">
            <v>0</v>
          </cell>
          <cell r="AV50">
            <v>5440606</v>
          </cell>
          <cell r="AW50">
            <v>143119</v>
          </cell>
          <cell r="AX50">
            <v>191640</v>
          </cell>
          <cell r="AY50">
            <v>959882</v>
          </cell>
          <cell r="AZ50">
            <v>1</v>
          </cell>
          <cell r="BA50">
            <v>1</v>
          </cell>
          <cell r="BB50">
            <v>26750</v>
          </cell>
          <cell r="BC50">
            <v>26950</v>
          </cell>
          <cell r="BE50">
            <v>5519305</v>
          </cell>
          <cell r="BF50">
            <v>3094</v>
          </cell>
          <cell r="BG50">
            <v>4412</v>
          </cell>
          <cell r="BH50">
            <v>33</v>
          </cell>
          <cell r="BI50">
            <v>53272934</v>
          </cell>
          <cell r="BJ50">
            <v>52823509</v>
          </cell>
          <cell r="BL50">
            <v>186</v>
          </cell>
          <cell r="BM50">
            <v>251</v>
          </cell>
          <cell r="BN50">
            <v>266</v>
          </cell>
          <cell r="BO50">
            <v>0</v>
          </cell>
          <cell r="BP50">
            <v>48</v>
          </cell>
          <cell r="BQ50">
            <v>33</v>
          </cell>
        </row>
        <row r="51">
          <cell r="A51">
            <v>240</v>
          </cell>
          <cell r="B51" t="str">
            <v>240 - Twin Valley</v>
          </cell>
          <cell r="C51" t="str">
            <v>Ottawa</v>
          </cell>
          <cell r="D51">
            <v>45839425</v>
          </cell>
          <cell r="E51">
            <v>40823797</v>
          </cell>
          <cell r="F51">
            <v>50350072</v>
          </cell>
          <cell r="G51">
            <v>41879118</v>
          </cell>
          <cell r="H51">
            <v>559</v>
          </cell>
          <cell r="I51">
            <v>567</v>
          </cell>
          <cell r="J51">
            <v>269.3</v>
          </cell>
          <cell r="K51">
            <v>5922791</v>
          </cell>
          <cell r="L51">
            <v>579.5</v>
          </cell>
          <cell r="M51">
            <v>580.5</v>
          </cell>
          <cell r="N51">
            <v>588</v>
          </cell>
          <cell r="O51">
            <v>573.20000000000005</v>
          </cell>
          <cell r="P51">
            <v>601453</v>
          </cell>
          <cell r="Q51">
            <v>664601</v>
          </cell>
          <cell r="R51">
            <v>1023800</v>
          </cell>
          <cell r="S51">
            <v>594084</v>
          </cell>
          <cell r="T51">
            <v>0</v>
          </cell>
          <cell r="U51">
            <v>0</v>
          </cell>
          <cell r="V51">
            <v>0</v>
          </cell>
          <cell r="W51">
            <v>0.44</v>
          </cell>
          <cell r="X51">
            <v>221</v>
          </cell>
          <cell r="Y51">
            <v>63</v>
          </cell>
          <cell r="Z51">
            <v>0.43</v>
          </cell>
          <cell r="AA51">
            <v>0</v>
          </cell>
          <cell r="AB51">
            <v>0.49919999999999998</v>
          </cell>
          <cell r="AC51">
            <v>585038</v>
          </cell>
          <cell r="AD51">
            <v>560902</v>
          </cell>
          <cell r="AE51">
            <v>560902</v>
          </cell>
          <cell r="AF51">
            <v>579.5</v>
          </cell>
          <cell r="AG51">
            <v>580.5</v>
          </cell>
          <cell r="AH51">
            <v>588</v>
          </cell>
          <cell r="AI51">
            <v>573.20000000000005</v>
          </cell>
          <cell r="AJ51">
            <v>0</v>
          </cell>
          <cell r="AM51">
            <v>8</v>
          </cell>
          <cell r="AN51">
            <v>0</v>
          </cell>
          <cell r="AO51">
            <v>555.20000000000005</v>
          </cell>
          <cell r="AQ51">
            <v>0</v>
          </cell>
          <cell r="AT51">
            <v>0</v>
          </cell>
          <cell r="AU51">
            <v>0</v>
          </cell>
          <cell r="AV51">
            <v>5090637</v>
          </cell>
          <cell r="AW51">
            <v>183289</v>
          </cell>
          <cell r="AX51">
            <v>217848</v>
          </cell>
          <cell r="AY51">
            <v>968498</v>
          </cell>
          <cell r="AZ51">
            <v>1</v>
          </cell>
          <cell r="BA51">
            <v>1</v>
          </cell>
          <cell r="BB51">
            <v>24190</v>
          </cell>
          <cell r="BC51">
            <v>24236</v>
          </cell>
          <cell r="BE51">
            <v>5258190</v>
          </cell>
          <cell r="BF51">
            <v>8719</v>
          </cell>
          <cell r="BG51">
            <v>5591</v>
          </cell>
          <cell r="BH51">
            <v>33</v>
          </cell>
          <cell r="BI51">
            <v>45839425</v>
          </cell>
          <cell r="BJ51">
            <v>50350072</v>
          </cell>
          <cell r="BL51">
            <v>173</v>
          </cell>
          <cell r="BM51">
            <v>250</v>
          </cell>
          <cell r="BN51">
            <v>260</v>
          </cell>
          <cell r="BO51">
            <v>64</v>
          </cell>
          <cell r="BP51">
            <v>43</v>
          </cell>
          <cell r="BQ51">
            <v>54</v>
          </cell>
        </row>
        <row r="52">
          <cell r="A52">
            <v>241</v>
          </cell>
          <cell r="B52" t="str">
            <v>241 - Wallace County Schools</v>
          </cell>
          <cell r="C52" t="str">
            <v>Wallace</v>
          </cell>
          <cell r="D52">
            <v>28981368</v>
          </cell>
          <cell r="E52">
            <v>26507631</v>
          </cell>
          <cell r="F52">
            <v>26291614</v>
          </cell>
          <cell r="G52">
            <v>22565322</v>
          </cell>
          <cell r="H52">
            <v>183</v>
          </cell>
          <cell r="I52">
            <v>167.1</v>
          </cell>
          <cell r="J52">
            <v>681.5</v>
          </cell>
          <cell r="K52">
            <v>2047230</v>
          </cell>
          <cell r="L52">
            <v>184</v>
          </cell>
          <cell r="M52">
            <v>183</v>
          </cell>
          <cell r="N52">
            <v>167.1</v>
          </cell>
          <cell r="O52">
            <v>146.4</v>
          </cell>
          <cell r="P52">
            <v>110049</v>
          </cell>
          <cell r="Q52">
            <v>127204</v>
          </cell>
          <cell r="R52">
            <v>0</v>
          </cell>
          <cell r="S52">
            <v>156774</v>
          </cell>
          <cell r="T52">
            <v>0</v>
          </cell>
          <cell r="U52">
            <v>0</v>
          </cell>
          <cell r="V52">
            <v>0</v>
          </cell>
          <cell r="W52">
            <v>0</v>
          </cell>
          <cell r="X52">
            <v>39</v>
          </cell>
          <cell r="Y52">
            <v>16</v>
          </cell>
          <cell r="Z52">
            <v>0</v>
          </cell>
          <cell r="AA52">
            <v>0</v>
          </cell>
          <cell r="AB52">
            <v>0</v>
          </cell>
          <cell r="AC52">
            <v>240360</v>
          </cell>
          <cell r="AD52">
            <v>203866</v>
          </cell>
          <cell r="AE52">
            <v>203866</v>
          </cell>
          <cell r="AF52">
            <v>184</v>
          </cell>
          <cell r="AG52">
            <v>183</v>
          </cell>
          <cell r="AH52">
            <v>167.1</v>
          </cell>
          <cell r="AI52">
            <v>146.4</v>
          </cell>
          <cell r="AJ52">
            <v>0</v>
          </cell>
          <cell r="AM52">
            <v>0</v>
          </cell>
          <cell r="AN52">
            <v>0</v>
          </cell>
          <cell r="AO52">
            <v>146.4</v>
          </cell>
          <cell r="AQ52">
            <v>0</v>
          </cell>
          <cell r="AT52">
            <v>0</v>
          </cell>
          <cell r="AU52">
            <v>0</v>
          </cell>
          <cell r="AV52">
            <v>1919248</v>
          </cell>
          <cell r="AW52">
            <v>0</v>
          </cell>
          <cell r="AX52">
            <v>0</v>
          </cell>
          <cell r="AY52">
            <v>0</v>
          </cell>
          <cell r="AZ52">
            <v>1</v>
          </cell>
          <cell r="BA52">
            <v>1</v>
          </cell>
          <cell r="BB52">
            <v>0</v>
          </cell>
          <cell r="BC52">
            <v>0</v>
          </cell>
          <cell r="BE52">
            <v>1917932</v>
          </cell>
          <cell r="BF52">
            <v>0</v>
          </cell>
          <cell r="BG52">
            <v>467</v>
          </cell>
          <cell r="BH52">
            <v>33</v>
          </cell>
          <cell r="BI52">
            <v>28981368</v>
          </cell>
          <cell r="BJ52">
            <v>26291614</v>
          </cell>
          <cell r="BL52">
            <v>25</v>
          </cell>
          <cell r="BM52">
            <v>46</v>
          </cell>
          <cell r="BN52">
            <v>53</v>
          </cell>
          <cell r="BO52">
            <v>24</v>
          </cell>
          <cell r="BP52">
            <v>18</v>
          </cell>
          <cell r="BQ52">
            <v>13</v>
          </cell>
        </row>
        <row r="53">
          <cell r="A53">
            <v>242</v>
          </cell>
          <cell r="B53" t="str">
            <v>242 - Weskan</v>
          </cell>
          <cell r="C53" t="str">
            <v>Wallace</v>
          </cell>
          <cell r="D53">
            <v>11204116</v>
          </cell>
          <cell r="E53">
            <v>10699762</v>
          </cell>
          <cell r="F53">
            <v>10675648</v>
          </cell>
          <cell r="G53">
            <v>9872422</v>
          </cell>
          <cell r="H53">
            <v>105.5</v>
          </cell>
          <cell r="I53">
            <v>116.5</v>
          </cell>
          <cell r="J53">
            <v>243</v>
          </cell>
          <cell r="K53">
            <v>1483603</v>
          </cell>
          <cell r="L53">
            <v>96.5</v>
          </cell>
          <cell r="M53">
            <v>105.5</v>
          </cell>
          <cell r="N53">
            <v>116.5</v>
          </cell>
          <cell r="O53">
            <v>110.7</v>
          </cell>
          <cell r="P53">
            <v>98037</v>
          </cell>
          <cell r="Q53">
            <v>135317</v>
          </cell>
          <cell r="R53">
            <v>156055</v>
          </cell>
          <cell r="S53">
            <v>98257</v>
          </cell>
          <cell r="T53">
            <v>0</v>
          </cell>
          <cell r="U53">
            <v>0</v>
          </cell>
          <cell r="V53">
            <v>0</v>
          </cell>
          <cell r="W53">
            <v>0.36</v>
          </cell>
          <cell r="X53">
            <v>23</v>
          </cell>
          <cell r="Y53">
            <v>1</v>
          </cell>
          <cell r="Z53">
            <v>0.35</v>
          </cell>
          <cell r="AA53">
            <v>0</v>
          </cell>
          <cell r="AB53">
            <v>0.37569999999999998</v>
          </cell>
          <cell r="AC53">
            <v>117275</v>
          </cell>
          <cell r="AD53">
            <v>114954</v>
          </cell>
          <cell r="AE53">
            <v>114954</v>
          </cell>
          <cell r="AF53">
            <v>96.5</v>
          </cell>
          <cell r="AG53">
            <v>105.5</v>
          </cell>
          <cell r="AH53">
            <v>116.5</v>
          </cell>
          <cell r="AI53">
            <v>110.7</v>
          </cell>
          <cell r="AJ53">
            <v>0</v>
          </cell>
          <cell r="AM53">
            <v>0</v>
          </cell>
          <cell r="AN53">
            <v>0</v>
          </cell>
          <cell r="AO53">
            <v>110.7</v>
          </cell>
          <cell r="AQ53">
            <v>0</v>
          </cell>
          <cell r="AT53">
            <v>0</v>
          </cell>
          <cell r="AU53">
            <v>0</v>
          </cell>
          <cell r="AV53">
            <v>1186836</v>
          </cell>
          <cell r="AW53">
            <v>16134</v>
          </cell>
          <cell r="AX53">
            <v>31567</v>
          </cell>
          <cell r="AY53">
            <v>105407</v>
          </cell>
          <cell r="AZ53">
            <v>1</v>
          </cell>
          <cell r="BA53">
            <v>1</v>
          </cell>
          <cell r="BB53">
            <v>0</v>
          </cell>
          <cell r="BC53">
            <v>0</v>
          </cell>
          <cell r="BE53">
            <v>1346789</v>
          </cell>
          <cell r="BF53">
            <v>339</v>
          </cell>
          <cell r="BG53">
            <v>670</v>
          </cell>
          <cell r="BH53">
            <v>33</v>
          </cell>
          <cell r="BI53">
            <v>11204116</v>
          </cell>
          <cell r="BJ53">
            <v>10675648</v>
          </cell>
          <cell r="BL53">
            <v>26</v>
          </cell>
          <cell r="BM53">
            <v>27</v>
          </cell>
          <cell r="BN53">
            <v>31</v>
          </cell>
          <cell r="BO53">
            <v>2</v>
          </cell>
          <cell r="BP53">
            <v>7</v>
          </cell>
          <cell r="BQ53">
            <v>3</v>
          </cell>
        </row>
        <row r="54">
          <cell r="A54">
            <v>243</v>
          </cell>
          <cell r="B54" t="str">
            <v>243 - Lebo-Waverly</v>
          </cell>
          <cell r="C54" t="str">
            <v>Coffey</v>
          </cell>
          <cell r="D54">
            <v>40360584</v>
          </cell>
          <cell r="E54">
            <v>35039961</v>
          </cell>
          <cell r="F54">
            <v>43192840</v>
          </cell>
          <cell r="G54">
            <v>34425653</v>
          </cell>
          <cell r="H54">
            <v>442.2</v>
          </cell>
          <cell r="I54">
            <v>435.5</v>
          </cell>
          <cell r="J54">
            <v>248</v>
          </cell>
          <cell r="K54">
            <v>5158040</v>
          </cell>
          <cell r="L54">
            <v>451.1</v>
          </cell>
          <cell r="M54">
            <v>449.2</v>
          </cell>
          <cell r="N54">
            <v>446</v>
          </cell>
          <cell r="O54">
            <v>478.2</v>
          </cell>
          <cell r="P54">
            <v>698205</v>
          </cell>
          <cell r="Q54">
            <v>858002</v>
          </cell>
          <cell r="R54">
            <v>764665</v>
          </cell>
          <cell r="S54">
            <v>440826</v>
          </cell>
          <cell r="T54">
            <v>9590</v>
          </cell>
          <cell r="U54">
            <v>1828</v>
          </cell>
          <cell r="V54">
            <v>0</v>
          </cell>
          <cell r="W54">
            <v>0.42</v>
          </cell>
          <cell r="X54">
            <v>170</v>
          </cell>
          <cell r="Y54">
            <v>36</v>
          </cell>
          <cell r="Z54">
            <v>0.41</v>
          </cell>
          <cell r="AA54">
            <v>0</v>
          </cell>
          <cell r="AB54">
            <v>0.44919999999999999</v>
          </cell>
          <cell r="AC54">
            <v>523151</v>
          </cell>
          <cell r="AD54">
            <v>440399</v>
          </cell>
          <cell r="AE54">
            <v>440399</v>
          </cell>
          <cell r="AF54">
            <v>451.1</v>
          </cell>
          <cell r="AG54">
            <v>449.2</v>
          </cell>
          <cell r="AH54">
            <v>446</v>
          </cell>
          <cell r="AI54">
            <v>478.2</v>
          </cell>
          <cell r="AJ54">
            <v>0</v>
          </cell>
          <cell r="AM54">
            <v>1</v>
          </cell>
          <cell r="AN54">
            <v>0</v>
          </cell>
          <cell r="AO54">
            <v>475.7</v>
          </cell>
          <cell r="AQ54">
            <v>0</v>
          </cell>
          <cell r="AT54">
            <v>0</v>
          </cell>
          <cell r="AU54">
            <v>0</v>
          </cell>
          <cell r="AV54">
            <v>3931875</v>
          </cell>
          <cell r="AW54">
            <v>132058</v>
          </cell>
          <cell r="AX54">
            <v>148463</v>
          </cell>
          <cell r="AY54">
            <v>675286</v>
          </cell>
          <cell r="AZ54">
            <v>1</v>
          </cell>
          <cell r="BA54">
            <v>1</v>
          </cell>
          <cell r="BB54">
            <v>0</v>
          </cell>
          <cell r="BC54">
            <v>0</v>
          </cell>
          <cell r="BE54">
            <v>4300038</v>
          </cell>
          <cell r="BF54">
            <v>4229</v>
          </cell>
          <cell r="BG54">
            <v>1622</v>
          </cell>
          <cell r="BH54">
            <v>33</v>
          </cell>
          <cell r="BI54">
            <v>40360584</v>
          </cell>
          <cell r="BJ54">
            <v>43192840</v>
          </cell>
          <cell r="BL54">
            <v>128</v>
          </cell>
          <cell r="BM54">
            <v>156</v>
          </cell>
          <cell r="BN54">
            <v>176</v>
          </cell>
          <cell r="BO54">
            <v>43</v>
          </cell>
          <cell r="BP54">
            <v>22</v>
          </cell>
          <cell r="BQ54">
            <v>12</v>
          </cell>
        </row>
        <row r="55">
          <cell r="A55">
            <v>244</v>
          </cell>
          <cell r="B55" t="str">
            <v>244 - Burlington</v>
          </cell>
          <cell r="C55" t="str">
            <v>Coffey</v>
          </cell>
          <cell r="D55">
            <v>546186174</v>
          </cell>
          <cell r="E55">
            <v>538086491</v>
          </cell>
          <cell r="F55">
            <v>557742374</v>
          </cell>
          <cell r="G55">
            <v>544194391</v>
          </cell>
          <cell r="H55">
            <v>792</v>
          </cell>
          <cell r="I55">
            <v>778.5</v>
          </cell>
          <cell r="J55">
            <v>147</v>
          </cell>
          <cell r="K55">
            <v>8108948</v>
          </cell>
          <cell r="L55">
            <v>795</v>
          </cell>
          <cell r="M55">
            <v>803</v>
          </cell>
          <cell r="N55">
            <v>787</v>
          </cell>
          <cell r="O55">
            <v>766.1</v>
          </cell>
          <cell r="P55">
            <v>1160730</v>
          </cell>
          <cell r="Q55">
            <v>1332608</v>
          </cell>
          <cell r="R55">
            <v>0</v>
          </cell>
          <cell r="S55">
            <v>1300350</v>
          </cell>
          <cell r="T55">
            <v>21674</v>
          </cell>
          <cell r="U55">
            <v>24165</v>
          </cell>
          <cell r="V55">
            <v>0</v>
          </cell>
          <cell r="W55">
            <v>0</v>
          </cell>
          <cell r="X55">
            <v>284</v>
          </cell>
          <cell r="Y55">
            <v>66</v>
          </cell>
          <cell r="Z55">
            <v>0</v>
          </cell>
          <cell r="AA55">
            <v>0</v>
          </cell>
          <cell r="AB55">
            <v>0</v>
          </cell>
          <cell r="AC55">
            <v>1310264</v>
          </cell>
          <cell r="AD55">
            <v>1255035</v>
          </cell>
          <cell r="AE55">
            <v>1255035</v>
          </cell>
          <cell r="AF55">
            <v>795</v>
          </cell>
          <cell r="AG55">
            <v>803</v>
          </cell>
          <cell r="AH55">
            <v>787</v>
          </cell>
          <cell r="AI55">
            <v>766.1</v>
          </cell>
          <cell r="AJ55">
            <v>0</v>
          </cell>
          <cell r="AM55">
            <v>3</v>
          </cell>
          <cell r="AN55">
            <v>1</v>
          </cell>
          <cell r="AO55">
            <v>756.6</v>
          </cell>
          <cell r="AQ55">
            <v>0</v>
          </cell>
          <cell r="AT55">
            <v>0</v>
          </cell>
          <cell r="AU55">
            <v>0</v>
          </cell>
          <cell r="AV55">
            <v>6447052</v>
          </cell>
          <cell r="AW55">
            <v>0</v>
          </cell>
          <cell r="AX55">
            <v>0</v>
          </cell>
          <cell r="AY55">
            <v>0</v>
          </cell>
          <cell r="AZ55">
            <v>1</v>
          </cell>
          <cell r="BA55">
            <v>1</v>
          </cell>
          <cell r="BB55">
            <v>0</v>
          </cell>
          <cell r="BC55">
            <v>0</v>
          </cell>
          <cell r="BE55">
            <v>6776262</v>
          </cell>
          <cell r="BF55">
            <v>5735</v>
          </cell>
          <cell r="BG55">
            <v>6016</v>
          </cell>
          <cell r="BH55">
            <v>33</v>
          </cell>
          <cell r="BI55">
            <v>546186174</v>
          </cell>
          <cell r="BJ55">
            <v>557742374</v>
          </cell>
          <cell r="BL55">
            <v>232</v>
          </cell>
          <cell r="BM55">
            <v>301</v>
          </cell>
          <cell r="BN55">
            <v>291</v>
          </cell>
          <cell r="BO55">
            <v>95</v>
          </cell>
          <cell r="BP55">
            <v>67</v>
          </cell>
          <cell r="BQ55">
            <v>76</v>
          </cell>
        </row>
        <row r="56">
          <cell r="A56">
            <v>245</v>
          </cell>
          <cell r="B56" t="str">
            <v>245 - LeRoy-Gridley</v>
          </cell>
          <cell r="C56" t="str">
            <v>Coffey</v>
          </cell>
          <cell r="D56">
            <v>30077704</v>
          </cell>
          <cell r="E56">
            <v>26952712</v>
          </cell>
          <cell r="F56">
            <v>30692504</v>
          </cell>
          <cell r="G56">
            <v>25698775</v>
          </cell>
          <cell r="H56">
            <v>146</v>
          </cell>
          <cell r="I56">
            <v>148.5</v>
          </cell>
          <cell r="J56">
            <v>207</v>
          </cell>
          <cell r="K56">
            <v>2195837</v>
          </cell>
          <cell r="L56">
            <v>158.5</v>
          </cell>
          <cell r="M56">
            <v>156.5</v>
          </cell>
          <cell r="N56">
            <v>153.5</v>
          </cell>
          <cell r="O56">
            <v>155</v>
          </cell>
          <cell r="P56">
            <v>194358</v>
          </cell>
          <cell r="Q56">
            <v>255150</v>
          </cell>
          <cell r="R56">
            <v>0</v>
          </cell>
          <cell r="S56">
            <v>300551</v>
          </cell>
          <cell r="T56">
            <v>6005</v>
          </cell>
          <cell r="U56">
            <v>0</v>
          </cell>
          <cell r="V56">
            <v>0</v>
          </cell>
          <cell r="W56">
            <v>0</v>
          </cell>
          <cell r="X56">
            <v>78</v>
          </cell>
          <cell r="Y56">
            <v>25</v>
          </cell>
          <cell r="Z56">
            <v>0</v>
          </cell>
          <cell r="AA56">
            <v>0</v>
          </cell>
          <cell r="AB56">
            <v>0</v>
          </cell>
          <cell r="AC56">
            <v>239309</v>
          </cell>
          <cell r="AD56">
            <v>232010</v>
          </cell>
          <cell r="AE56">
            <v>232010</v>
          </cell>
          <cell r="AF56">
            <v>158.5</v>
          </cell>
          <cell r="AG56">
            <v>156.5</v>
          </cell>
          <cell r="AH56">
            <v>153.5</v>
          </cell>
          <cell r="AI56">
            <v>155</v>
          </cell>
          <cell r="AJ56">
            <v>0</v>
          </cell>
          <cell r="AM56">
            <v>0</v>
          </cell>
          <cell r="AN56">
            <v>0</v>
          </cell>
          <cell r="AO56">
            <v>150</v>
          </cell>
          <cell r="AQ56">
            <v>0</v>
          </cell>
          <cell r="AT56">
            <v>0</v>
          </cell>
          <cell r="AU56">
            <v>0</v>
          </cell>
          <cell r="AV56">
            <v>1904264</v>
          </cell>
          <cell r="AW56">
            <v>0</v>
          </cell>
          <cell r="AX56">
            <v>0</v>
          </cell>
          <cell r="AY56">
            <v>0</v>
          </cell>
          <cell r="AZ56">
            <v>1</v>
          </cell>
          <cell r="BA56">
            <v>1</v>
          </cell>
          <cell r="BB56">
            <v>0</v>
          </cell>
          <cell r="BC56">
            <v>0</v>
          </cell>
          <cell r="BE56">
            <v>1939164</v>
          </cell>
          <cell r="BF56">
            <v>1829</v>
          </cell>
          <cell r="BG56">
            <v>2176</v>
          </cell>
          <cell r="BH56">
            <v>33</v>
          </cell>
          <cell r="BI56">
            <v>30077704</v>
          </cell>
          <cell r="BJ56">
            <v>30692504</v>
          </cell>
          <cell r="BL56">
            <v>69</v>
          </cell>
          <cell r="BM56">
            <v>92</v>
          </cell>
          <cell r="BN56">
            <v>83</v>
          </cell>
          <cell r="BO56">
            <v>31</v>
          </cell>
          <cell r="BP56">
            <v>26</v>
          </cell>
          <cell r="BQ56">
            <v>28</v>
          </cell>
        </row>
        <row r="57">
          <cell r="A57">
            <v>246</v>
          </cell>
          <cell r="B57" t="str">
            <v>246 - Northeast</v>
          </cell>
          <cell r="C57" t="str">
            <v>Crawford</v>
          </cell>
          <cell r="D57">
            <v>26382832</v>
          </cell>
          <cell r="E57">
            <v>19177053</v>
          </cell>
          <cell r="F57">
            <v>28498339</v>
          </cell>
          <cell r="G57">
            <v>17608455</v>
          </cell>
          <cell r="H57">
            <v>442.9</v>
          </cell>
          <cell r="I57">
            <v>434.6</v>
          </cell>
          <cell r="J57">
            <v>106</v>
          </cell>
          <cell r="K57">
            <v>5182111</v>
          </cell>
          <cell r="L57">
            <v>455.5</v>
          </cell>
          <cell r="M57">
            <v>456.4</v>
          </cell>
          <cell r="N57">
            <v>441.6</v>
          </cell>
          <cell r="O57">
            <v>455.8</v>
          </cell>
          <cell r="P57">
            <v>556437</v>
          </cell>
          <cell r="Q57">
            <v>565080</v>
          </cell>
          <cell r="R57">
            <v>1103904</v>
          </cell>
          <cell r="S57">
            <v>520996</v>
          </cell>
          <cell r="T57">
            <v>3136</v>
          </cell>
          <cell r="U57">
            <v>2601</v>
          </cell>
          <cell r="V57">
            <v>0.22</v>
          </cell>
          <cell r="W57">
            <v>0.69</v>
          </cell>
          <cell r="X57">
            <v>290</v>
          </cell>
          <cell r="Y57">
            <v>52</v>
          </cell>
          <cell r="Z57">
            <v>0.68</v>
          </cell>
          <cell r="AA57">
            <v>0.13</v>
          </cell>
          <cell r="AB57">
            <v>0.63039999999999996</v>
          </cell>
          <cell r="AC57">
            <v>529842</v>
          </cell>
          <cell r="AD57">
            <v>506101</v>
          </cell>
          <cell r="AE57">
            <v>506101</v>
          </cell>
          <cell r="AF57">
            <v>453</v>
          </cell>
          <cell r="AG57">
            <v>454.4</v>
          </cell>
          <cell r="AH57">
            <v>439.6</v>
          </cell>
          <cell r="AI57">
            <v>453</v>
          </cell>
          <cell r="AJ57">
            <v>0</v>
          </cell>
          <cell r="AM57">
            <v>0</v>
          </cell>
          <cell r="AN57">
            <v>0</v>
          </cell>
          <cell r="AO57">
            <v>443</v>
          </cell>
          <cell r="AQ57">
            <v>0</v>
          </cell>
          <cell r="AT57">
            <v>0</v>
          </cell>
          <cell r="AU57">
            <v>0</v>
          </cell>
          <cell r="AV57">
            <v>4388242</v>
          </cell>
          <cell r="AW57">
            <v>147522</v>
          </cell>
          <cell r="AX57">
            <v>166825</v>
          </cell>
          <cell r="AY57">
            <v>994418</v>
          </cell>
          <cell r="AZ57">
            <v>1</v>
          </cell>
          <cell r="BA57">
            <v>1</v>
          </cell>
          <cell r="BB57">
            <v>0</v>
          </cell>
          <cell r="BC57">
            <v>0</v>
          </cell>
          <cell r="BE57">
            <v>4617031</v>
          </cell>
          <cell r="BF57">
            <v>163</v>
          </cell>
          <cell r="BG57">
            <v>36</v>
          </cell>
          <cell r="BH57">
            <v>33</v>
          </cell>
          <cell r="BI57">
            <v>26382832</v>
          </cell>
          <cell r="BJ57">
            <v>28573261</v>
          </cell>
          <cell r="BL57">
            <v>251</v>
          </cell>
          <cell r="BM57">
            <v>315</v>
          </cell>
          <cell r="BN57">
            <v>297</v>
          </cell>
          <cell r="BO57">
            <v>69</v>
          </cell>
          <cell r="BP57">
            <v>39</v>
          </cell>
          <cell r="BQ57">
            <v>48</v>
          </cell>
        </row>
        <row r="58">
          <cell r="A58">
            <v>247</v>
          </cell>
          <cell r="B58" t="str">
            <v>247 - Cherokee</v>
          </cell>
          <cell r="C58" t="str">
            <v>Crawford</v>
          </cell>
          <cell r="D58">
            <v>45525630</v>
          </cell>
          <cell r="E58">
            <v>37565329</v>
          </cell>
          <cell r="F58">
            <v>48293062</v>
          </cell>
          <cell r="G58">
            <v>36230529</v>
          </cell>
          <cell r="H58">
            <v>436.5</v>
          </cell>
          <cell r="I58">
            <v>436</v>
          </cell>
          <cell r="J58">
            <v>300</v>
          </cell>
          <cell r="K58">
            <v>5119856</v>
          </cell>
          <cell r="L58">
            <v>435.6</v>
          </cell>
          <cell r="M58">
            <v>445.7</v>
          </cell>
          <cell r="N58">
            <v>443</v>
          </cell>
          <cell r="O58">
            <v>418</v>
          </cell>
          <cell r="P58">
            <v>467182</v>
          </cell>
          <cell r="Q58">
            <v>515765</v>
          </cell>
          <cell r="R58">
            <v>661141</v>
          </cell>
          <cell r="S58">
            <v>656640</v>
          </cell>
          <cell r="T58">
            <v>7988</v>
          </cell>
          <cell r="U58">
            <v>6647</v>
          </cell>
          <cell r="V58">
            <v>0</v>
          </cell>
          <cell r="W58">
            <v>0.17</v>
          </cell>
          <cell r="X58">
            <v>255</v>
          </cell>
          <cell r="Y58">
            <v>43</v>
          </cell>
          <cell r="Z58">
            <v>0.16</v>
          </cell>
          <cell r="AA58">
            <v>0</v>
          </cell>
          <cell r="AB58">
            <v>0.34699999999999998</v>
          </cell>
          <cell r="AC58">
            <v>575877</v>
          </cell>
          <cell r="AD58">
            <v>550077</v>
          </cell>
          <cell r="AE58">
            <v>550077</v>
          </cell>
          <cell r="AF58">
            <v>432.7</v>
          </cell>
          <cell r="AG58">
            <v>443.5</v>
          </cell>
          <cell r="AH58">
            <v>443</v>
          </cell>
          <cell r="AI58">
            <v>418</v>
          </cell>
          <cell r="AJ58">
            <v>0</v>
          </cell>
          <cell r="AM58">
            <v>1</v>
          </cell>
          <cell r="AN58">
            <v>0</v>
          </cell>
          <cell r="AO58">
            <v>413.5</v>
          </cell>
          <cell r="AQ58">
            <v>0</v>
          </cell>
          <cell r="AT58">
            <v>0</v>
          </cell>
          <cell r="AU58">
            <v>0</v>
          </cell>
          <cell r="AV58">
            <v>4534016</v>
          </cell>
          <cell r="AW58">
            <v>109262</v>
          </cell>
          <cell r="AX58">
            <v>115695</v>
          </cell>
          <cell r="AY58">
            <v>658569</v>
          </cell>
          <cell r="AZ58">
            <v>1</v>
          </cell>
          <cell r="BA58">
            <v>1</v>
          </cell>
          <cell r="BB58">
            <v>0</v>
          </cell>
          <cell r="BC58">
            <v>0</v>
          </cell>
          <cell r="BE58">
            <v>4604038</v>
          </cell>
          <cell r="BF58">
            <v>1730</v>
          </cell>
          <cell r="BG58">
            <v>1017</v>
          </cell>
          <cell r="BH58">
            <v>33</v>
          </cell>
          <cell r="BI58">
            <v>45525630</v>
          </cell>
          <cell r="BJ58">
            <v>48212174</v>
          </cell>
          <cell r="BL58">
            <v>225</v>
          </cell>
          <cell r="BM58">
            <v>287</v>
          </cell>
          <cell r="BN58">
            <v>301</v>
          </cell>
          <cell r="BO58">
            <v>59</v>
          </cell>
          <cell r="BP58">
            <v>31</v>
          </cell>
          <cell r="BQ58">
            <v>42</v>
          </cell>
        </row>
        <row r="59">
          <cell r="A59">
            <v>248</v>
          </cell>
          <cell r="B59" t="str">
            <v>248 - Girard</v>
          </cell>
          <cell r="C59" t="str">
            <v>Crawford</v>
          </cell>
          <cell r="D59">
            <v>51353754</v>
          </cell>
          <cell r="E59">
            <v>41661601</v>
          </cell>
          <cell r="F59">
            <v>54127642</v>
          </cell>
          <cell r="G59">
            <v>38855376</v>
          </cell>
          <cell r="H59">
            <v>979.5</v>
          </cell>
          <cell r="I59">
            <v>935.5</v>
          </cell>
          <cell r="J59">
            <v>263</v>
          </cell>
          <cell r="K59">
            <v>9419107</v>
          </cell>
          <cell r="L59">
            <v>985.4</v>
          </cell>
          <cell r="M59">
            <v>1002.8</v>
          </cell>
          <cell r="N59">
            <v>959.8</v>
          </cell>
          <cell r="O59">
            <v>983.2</v>
          </cell>
          <cell r="P59">
            <v>1045744</v>
          </cell>
          <cell r="Q59">
            <v>1093056</v>
          </cell>
          <cell r="R59">
            <v>2084656</v>
          </cell>
          <cell r="S59">
            <v>846550</v>
          </cell>
          <cell r="T59">
            <v>18923</v>
          </cell>
          <cell r="U59">
            <v>22516</v>
          </cell>
          <cell r="V59">
            <v>0.3</v>
          </cell>
          <cell r="W59">
            <v>0.78</v>
          </cell>
          <cell r="X59">
            <v>428</v>
          </cell>
          <cell r="Y59">
            <v>72</v>
          </cell>
          <cell r="Z59">
            <v>0.77</v>
          </cell>
          <cell r="AA59">
            <v>0.22</v>
          </cell>
          <cell r="AB59">
            <v>0.67700000000000005</v>
          </cell>
          <cell r="AC59">
            <v>890805</v>
          </cell>
          <cell r="AD59">
            <v>842239</v>
          </cell>
          <cell r="AE59">
            <v>842239</v>
          </cell>
          <cell r="AF59">
            <v>978.5</v>
          </cell>
          <cell r="AG59">
            <v>992</v>
          </cell>
          <cell r="AH59">
            <v>947.5</v>
          </cell>
          <cell r="AI59">
            <v>975.6</v>
          </cell>
          <cell r="AJ59">
            <v>0</v>
          </cell>
          <cell r="AM59">
            <v>0</v>
          </cell>
          <cell r="AN59">
            <v>0</v>
          </cell>
          <cell r="AO59">
            <v>962.1</v>
          </cell>
          <cell r="AQ59">
            <v>0</v>
          </cell>
          <cell r="AT59">
            <v>0</v>
          </cell>
          <cell r="AU59">
            <v>0</v>
          </cell>
          <cell r="AV59">
            <v>7905438</v>
          </cell>
          <cell r="AW59">
            <v>310650</v>
          </cell>
          <cell r="AX59">
            <v>342299</v>
          </cell>
          <cell r="AY59">
            <v>1954976</v>
          </cell>
          <cell r="AZ59">
            <v>1</v>
          </cell>
          <cell r="BA59">
            <v>1</v>
          </cell>
          <cell r="BB59">
            <v>0</v>
          </cell>
          <cell r="BC59">
            <v>0</v>
          </cell>
          <cell r="BE59">
            <v>8325677</v>
          </cell>
          <cell r="BF59">
            <v>5681</v>
          </cell>
          <cell r="BG59">
            <v>1690</v>
          </cell>
          <cell r="BH59">
            <v>33</v>
          </cell>
          <cell r="BI59">
            <v>50505963</v>
          </cell>
          <cell r="BJ59">
            <v>53551159</v>
          </cell>
          <cell r="BL59">
            <v>344</v>
          </cell>
          <cell r="BM59">
            <v>445</v>
          </cell>
          <cell r="BN59">
            <v>411</v>
          </cell>
          <cell r="BO59">
            <v>126</v>
          </cell>
          <cell r="BP59">
            <v>58</v>
          </cell>
          <cell r="BQ59">
            <v>62</v>
          </cell>
        </row>
        <row r="60">
          <cell r="A60">
            <v>249</v>
          </cell>
          <cell r="B60" t="str">
            <v>249 - Frontenac Public Schools</v>
          </cell>
          <cell r="C60" t="str">
            <v>Crawford</v>
          </cell>
          <cell r="D60">
            <v>34738154</v>
          </cell>
          <cell r="E60">
            <v>27444374</v>
          </cell>
          <cell r="F60">
            <v>37967151</v>
          </cell>
          <cell r="G60">
            <v>25986342</v>
          </cell>
          <cell r="H60">
            <v>888</v>
          </cell>
          <cell r="I60">
            <v>924.5</v>
          </cell>
          <cell r="J60">
            <v>22</v>
          </cell>
          <cell r="K60">
            <v>8571602</v>
          </cell>
          <cell r="L60">
            <v>934.6</v>
          </cell>
          <cell r="M60">
            <v>900.8</v>
          </cell>
          <cell r="N60">
            <v>931.5</v>
          </cell>
          <cell r="O60">
            <v>949.9</v>
          </cell>
          <cell r="P60">
            <v>928806</v>
          </cell>
          <cell r="Q60">
            <v>1027023</v>
          </cell>
          <cell r="R60">
            <v>2197299</v>
          </cell>
          <cell r="S60">
            <v>643130</v>
          </cell>
          <cell r="T60">
            <v>0</v>
          </cell>
          <cell r="U60">
            <v>0</v>
          </cell>
          <cell r="V60">
            <v>0.45</v>
          </cell>
          <cell r="W60">
            <v>0.92</v>
          </cell>
          <cell r="X60">
            <v>324</v>
          </cell>
          <cell r="Y60">
            <v>80</v>
          </cell>
          <cell r="Z60">
            <v>0.91</v>
          </cell>
          <cell r="AA60">
            <v>0.36</v>
          </cell>
          <cell r="AB60">
            <v>0.7631</v>
          </cell>
          <cell r="AC60">
            <v>878194</v>
          </cell>
          <cell r="AD60">
            <v>848106</v>
          </cell>
          <cell r="AE60">
            <v>848106</v>
          </cell>
          <cell r="AF60">
            <v>926</v>
          </cell>
          <cell r="AG60">
            <v>893</v>
          </cell>
          <cell r="AH60">
            <v>927.5</v>
          </cell>
          <cell r="AI60">
            <v>944.4</v>
          </cell>
          <cell r="AJ60">
            <v>0</v>
          </cell>
          <cell r="AM60">
            <v>13</v>
          </cell>
          <cell r="AN60">
            <v>0</v>
          </cell>
          <cell r="AO60">
            <v>939.4</v>
          </cell>
          <cell r="AQ60">
            <v>0</v>
          </cell>
          <cell r="AT60">
            <v>0</v>
          </cell>
          <cell r="AU60">
            <v>0</v>
          </cell>
          <cell r="AV60">
            <v>7082831</v>
          </cell>
          <cell r="AW60">
            <v>246414</v>
          </cell>
          <cell r="AX60">
            <v>288142</v>
          </cell>
          <cell r="AY60">
            <v>2054488</v>
          </cell>
          <cell r="AZ60">
            <v>1</v>
          </cell>
          <cell r="BA60">
            <v>1</v>
          </cell>
          <cell r="BB60">
            <v>0</v>
          </cell>
          <cell r="BC60">
            <v>0</v>
          </cell>
          <cell r="BE60">
            <v>7544579</v>
          </cell>
          <cell r="BF60">
            <v>4370</v>
          </cell>
          <cell r="BG60">
            <v>8888</v>
          </cell>
          <cell r="BH60">
            <v>33</v>
          </cell>
          <cell r="BI60">
            <v>35019474</v>
          </cell>
          <cell r="BJ60">
            <v>37932388</v>
          </cell>
          <cell r="BL60">
            <v>239</v>
          </cell>
          <cell r="BM60">
            <v>294</v>
          </cell>
          <cell r="BN60">
            <v>331</v>
          </cell>
          <cell r="BO60">
            <v>70</v>
          </cell>
          <cell r="BP60">
            <v>57</v>
          </cell>
          <cell r="BQ60">
            <v>67</v>
          </cell>
        </row>
        <row r="61">
          <cell r="A61">
            <v>250</v>
          </cell>
          <cell r="B61" t="str">
            <v>250 - Pittsburg</v>
          </cell>
          <cell r="C61" t="str">
            <v>Crawford</v>
          </cell>
          <cell r="D61">
            <v>191089567</v>
          </cell>
          <cell r="E61">
            <v>155018527</v>
          </cell>
          <cell r="F61">
            <v>202494951</v>
          </cell>
          <cell r="G61">
            <v>145780176</v>
          </cell>
          <cell r="H61">
            <v>3153.4</v>
          </cell>
          <cell r="I61">
            <v>3164.2</v>
          </cell>
          <cell r="J61">
            <v>43</v>
          </cell>
          <cell r="K61">
            <v>29946492</v>
          </cell>
          <cell r="L61">
            <v>3198.8</v>
          </cell>
          <cell r="M61">
            <v>3233.4</v>
          </cell>
          <cell r="N61">
            <v>3250.6</v>
          </cell>
          <cell r="O61">
            <v>3228.3</v>
          </cell>
          <cell r="P61">
            <v>3567903</v>
          </cell>
          <cell r="Q61">
            <v>3894526</v>
          </cell>
          <cell r="R61">
            <v>6304643</v>
          </cell>
          <cell r="S61">
            <v>2265391</v>
          </cell>
          <cell r="T61">
            <v>4916</v>
          </cell>
          <cell r="U61">
            <v>4749</v>
          </cell>
          <cell r="V61">
            <v>0.22</v>
          </cell>
          <cell r="W61">
            <v>0.7</v>
          </cell>
          <cell r="X61">
            <v>2072</v>
          </cell>
          <cell r="Y61">
            <v>271</v>
          </cell>
          <cell r="Z61">
            <v>0.69</v>
          </cell>
          <cell r="AA61">
            <v>0.14000000000000001</v>
          </cell>
          <cell r="AB61">
            <v>0.6391</v>
          </cell>
          <cell r="AC61">
            <v>2943164</v>
          </cell>
          <cell r="AD61">
            <v>2844878</v>
          </cell>
          <cell r="AE61">
            <v>2844878</v>
          </cell>
          <cell r="AF61">
            <v>3157.1</v>
          </cell>
          <cell r="AG61">
            <v>3212.9</v>
          </cell>
          <cell r="AH61">
            <v>3222.2</v>
          </cell>
          <cell r="AI61">
            <v>3201.1</v>
          </cell>
          <cell r="AJ61">
            <v>0</v>
          </cell>
          <cell r="AM61">
            <v>4</v>
          </cell>
          <cell r="AN61">
            <v>0</v>
          </cell>
          <cell r="AO61">
            <v>3143.1</v>
          </cell>
          <cell r="AQ61">
            <v>0</v>
          </cell>
          <cell r="AT61">
            <v>0</v>
          </cell>
          <cell r="AU61">
            <v>0</v>
          </cell>
          <cell r="AV61">
            <v>24313059</v>
          </cell>
          <cell r="AW61">
            <v>1091070</v>
          </cell>
          <cell r="AX61">
            <v>1205442</v>
          </cell>
          <cell r="AY61">
            <v>5797138</v>
          </cell>
          <cell r="AZ61">
            <v>1</v>
          </cell>
          <cell r="BA61">
            <v>1</v>
          </cell>
          <cell r="BB61">
            <v>0</v>
          </cell>
          <cell r="BC61">
            <v>0</v>
          </cell>
          <cell r="BE61">
            <v>26051966</v>
          </cell>
          <cell r="BF61">
            <v>10844</v>
          </cell>
          <cell r="BG61">
            <v>16138</v>
          </cell>
          <cell r="BH61">
            <v>33</v>
          </cell>
          <cell r="BI61">
            <v>189421845</v>
          </cell>
          <cell r="BJ61">
            <v>200907057</v>
          </cell>
          <cell r="BL61">
            <v>1756</v>
          </cell>
          <cell r="BM61">
            <v>1977</v>
          </cell>
          <cell r="BN61">
            <v>2064</v>
          </cell>
          <cell r="BO61">
            <v>344</v>
          </cell>
          <cell r="BP61">
            <v>201</v>
          </cell>
          <cell r="BQ61">
            <v>266</v>
          </cell>
        </row>
        <row r="62">
          <cell r="A62">
            <v>251</v>
          </cell>
          <cell r="B62" t="str">
            <v>251 - North Lyon County</v>
          </cell>
          <cell r="C62" t="str">
            <v>Lyon</v>
          </cell>
          <cell r="D62">
            <v>104738131</v>
          </cell>
          <cell r="E62">
            <v>98427605</v>
          </cell>
          <cell r="F62">
            <v>102788708</v>
          </cell>
          <cell r="G62">
            <v>92247650</v>
          </cell>
          <cell r="H62">
            <v>324</v>
          </cell>
          <cell r="I62">
            <v>313</v>
          </cell>
          <cell r="J62">
            <v>434</v>
          </cell>
          <cell r="K62">
            <v>3733047</v>
          </cell>
          <cell r="L62">
            <v>314.5</v>
          </cell>
          <cell r="M62">
            <v>332.5</v>
          </cell>
          <cell r="N62">
            <v>321.5</v>
          </cell>
          <cell r="O62">
            <v>319.7</v>
          </cell>
          <cell r="P62">
            <v>509068</v>
          </cell>
          <cell r="Q62">
            <v>458544</v>
          </cell>
          <cell r="R62">
            <v>0</v>
          </cell>
          <cell r="S62">
            <v>442086</v>
          </cell>
          <cell r="T62">
            <v>4998</v>
          </cell>
          <cell r="U62">
            <v>6360</v>
          </cell>
          <cell r="V62">
            <v>0</v>
          </cell>
          <cell r="W62">
            <v>0</v>
          </cell>
          <cell r="X62">
            <v>125</v>
          </cell>
          <cell r="Y62">
            <v>24</v>
          </cell>
          <cell r="Z62">
            <v>0</v>
          </cell>
          <cell r="AA62">
            <v>0</v>
          </cell>
          <cell r="AB62">
            <v>0</v>
          </cell>
          <cell r="AC62">
            <v>418570</v>
          </cell>
          <cell r="AD62">
            <v>387685</v>
          </cell>
          <cell r="AE62">
            <v>387685</v>
          </cell>
          <cell r="AF62">
            <v>313.5</v>
          </cell>
          <cell r="AG62">
            <v>330.5</v>
          </cell>
          <cell r="AH62">
            <v>319.5</v>
          </cell>
          <cell r="AI62">
            <v>318.89999999999998</v>
          </cell>
          <cell r="AJ62">
            <v>0</v>
          </cell>
          <cell r="AM62">
            <v>0</v>
          </cell>
          <cell r="AN62">
            <v>0</v>
          </cell>
          <cell r="AO62">
            <v>307.39999999999998</v>
          </cell>
          <cell r="AQ62">
            <v>0</v>
          </cell>
          <cell r="AT62">
            <v>0</v>
          </cell>
          <cell r="AU62">
            <v>0</v>
          </cell>
          <cell r="AV62">
            <v>3052128</v>
          </cell>
          <cell r="AW62">
            <v>0</v>
          </cell>
          <cell r="AX62">
            <v>0</v>
          </cell>
          <cell r="AY62">
            <v>0</v>
          </cell>
          <cell r="AZ62">
            <v>1</v>
          </cell>
          <cell r="BA62">
            <v>1</v>
          </cell>
          <cell r="BB62">
            <v>0</v>
          </cell>
          <cell r="BC62">
            <v>0</v>
          </cell>
          <cell r="BE62">
            <v>3271607</v>
          </cell>
          <cell r="BF62">
            <v>1841</v>
          </cell>
          <cell r="BG62">
            <v>2022</v>
          </cell>
          <cell r="BH62">
            <v>33</v>
          </cell>
          <cell r="BI62">
            <v>104738131</v>
          </cell>
          <cell r="BJ62">
            <v>102788708</v>
          </cell>
          <cell r="BL62">
            <v>99</v>
          </cell>
          <cell r="BM62">
            <v>115</v>
          </cell>
          <cell r="BN62">
            <v>106</v>
          </cell>
          <cell r="BO62">
            <v>31</v>
          </cell>
          <cell r="BP62">
            <v>20</v>
          </cell>
          <cell r="BQ62">
            <v>38</v>
          </cell>
        </row>
        <row r="63">
          <cell r="A63">
            <v>252</v>
          </cell>
          <cell r="B63" t="str">
            <v>252 - Southern Lyon County</v>
          </cell>
          <cell r="C63" t="str">
            <v>Lyon</v>
          </cell>
          <cell r="D63">
            <v>50867669</v>
          </cell>
          <cell r="E63">
            <v>45135731</v>
          </cell>
          <cell r="F63">
            <v>51055253</v>
          </cell>
          <cell r="G63">
            <v>41428065</v>
          </cell>
          <cell r="H63">
            <v>495.8</v>
          </cell>
          <cell r="I63">
            <v>512.1</v>
          </cell>
          <cell r="J63">
            <v>295</v>
          </cell>
          <cell r="K63">
            <v>5133839</v>
          </cell>
          <cell r="L63">
            <v>502.9</v>
          </cell>
          <cell r="M63">
            <v>505.8</v>
          </cell>
          <cell r="N63">
            <v>523.6</v>
          </cell>
          <cell r="O63">
            <v>498.5</v>
          </cell>
          <cell r="P63">
            <v>559453</v>
          </cell>
          <cell r="Q63">
            <v>507515</v>
          </cell>
          <cell r="R63">
            <v>676614</v>
          </cell>
          <cell r="S63">
            <v>481383</v>
          </cell>
          <cell r="T63">
            <v>5948</v>
          </cell>
          <cell r="U63">
            <v>16853</v>
          </cell>
          <cell r="V63">
            <v>0</v>
          </cell>
          <cell r="W63">
            <v>0.3</v>
          </cell>
          <cell r="X63">
            <v>140</v>
          </cell>
          <cell r="Y63">
            <v>56</v>
          </cell>
          <cell r="Z63">
            <v>0.28999999999999998</v>
          </cell>
          <cell r="AA63">
            <v>0</v>
          </cell>
          <cell r="AB63">
            <v>0.3866</v>
          </cell>
          <cell r="AC63">
            <v>653316</v>
          </cell>
          <cell r="AD63">
            <v>600884</v>
          </cell>
          <cell r="AE63">
            <v>600884</v>
          </cell>
          <cell r="AF63">
            <v>502.9</v>
          </cell>
          <cell r="AG63">
            <v>505.8</v>
          </cell>
          <cell r="AH63">
            <v>523.6</v>
          </cell>
          <cell r="AI63">
            <v>498.5</v>
          </cell>
          <cell r="AJ63">
            <v>0</v>
          </cell>
          <cell r="AM63">
            <v>2</v>
          </cell>
          <cell r="AN63">
            <v>0</v>
          </cell>
          <cell r="AO63">
            <v>490</v>
          </cell>
          <cell r="AQ63">
            <v>0</v>
          </cell>
          <cell r="AT63">
            <v>0</v>
          </cell>
          <cell r="AU63">
            <v>0</v>
          </cell>
          <cell r="AV63">
            <v>4400703</v>
          </cell>
          <cell r="AW63">
            <v>117625</v>
          </cell>
          <cell r="AX63">
            <v>134974</v>
          </cell>
          <cell r="AY63">
            <v>622919</v>
          </cell>
          <cell r="AZ63">
            <v>1</v>
          </cell>
          <cell r="BA63">
            <v>1</v>
          </cell>
          <cell r="BB63">
            <v>0</v>
          </cell>
          <cell r="BC63">
            <v>0</v>
          </cell>
          <cell r="BE63">
            <v>4625141</v>
          </cell>
          <cell r="BF63">
            <v>6020</v>
          </cell>
          <cell r="BG63">
            <v>6653</v>
          </cell>
          <cell r="BH63">
            <v>33</v>
          </cell>
          <cell r="BI63">
            <v>50889719</v>
          </cell>
          <cell r="BJ63">
            <v>48647753</v>
          </cell>
          <cell r="BL63">
            <v>170</v>
          </cell>
          <cell r="BM63">
            <v>153</v>
          </cell>
          <cell r="BN63">
            <v>167</v>
          </cell>
          <cell r="BO63">
            <v>30</v>
          </cell>
          <cell r="BP63">
            <v>47</v>
          </cell>
          <cell r="BQ63">
            <v>51</v>
          </cell>
        </row>
        <row r="64">
          <cell r="A64">
            <v>253</v>
          </cell>
          <cell r="B64" t="str">
            <v>253 - Emporia</v>
          </cell>
          <cell r="C64" t="str">
            <v>Lyon</v>
          </cell>
          <cell r="D64">
            <v>268793961</v>
          </cell>
          <cell r="E64">
            <v>229182263</v>
          </cell>
          <cell r="F64">
            <v>280183967</v>
          </cell>
          <cell r="G64">
            <v>212743710</v>
          </cell>
          <cell r="H64">
            <v>4129.5</v>
          </cell>
          <cell r="I64">
            <v>4191.2</v>
          </cell>
          <cell r="J64">
            <v>135</v>
          </cell>
          <cell r="K64">
            <v>37781153</v>
          </cell>
          <cell r="L64">
            <v>4112</v>
          </cell>
          <cell r="M64">
            <v>4208</v>
          </cell>
          <cell r="N64">
            <v>4270.2</v>
          </cell>
          <cell r="O64">
            <v>4098.7</v>
          </cell>
          <cell r="P64">
            <v>4301221</v>
          </cell>
          <cell r="Q64">
            <v>4805588</v>
          </cell>
          <cell r="R64">
            <v>7730795</v>
          </cell>
          <cell r="S64">
            <v>3107792</v>
          </cell>
          <cell r="T64">
            <v>0</v>
          </cell>
          <cell r="U64">
            <v>0</v>
          </cell>
          <cell r="V64">
            <v>0.18</v>
          </cell>
          <cell r="W64">
            <v>0.64</v>
          </cell>
          <cell r="X64">
            <v>2081</v>
          </cell>
          <cell r="Y64">
            <v>559</v>
          </cell>
          <cell r="Z64">
            <v>0.64</v>
          </cell>
          <cell r="AA64">
            <v>0.09</v>
          </cell>
          <cell r="AB64">
            <v>0.61429999999999996</v>
          </cell>
          <cell r="AC64">
            <v>5185254</v>
          </cell>
          <cell r="AD64">
            <v>4993394</v>
          </cell>
          <cell r="AE64">
            <v>4993394</v>
          </cell>
          <cell r="AF64">
            <v>4112</v>
          </cell>
          <cell r="AG64">
            <v>4208</v>
          </cell>
          <cell r="AH64">
            <v>4270.2</v>
          </cell>
          <cell r="AI64">
            <v>4098.7</v>
          </cell>
          <cell r="AJ64">
            <v>0</v>
          </cell>
          <cell r="AM64">
            <v>19</v>
          </cell>
          <cell r="AN64">
            <v>0</v>
          </cell>
          <cell r="AO64">
            <v>4019.2</v>
          </cell>
          <cell r="AQ64">
            <v>0</v>
          </cell>
          <cell r="AT64">
            <v>0</v>
          </cell>
          <cell r="AU64">
            <v>0</v>
          </cell>
          <cell r="AV64">
            <v>31307701</v>
          </cell>
          <cell r="AW64">
            <v>1437624</v>
          </cell>
          <cell r="AX64">
            <v>1577101</v>
          </cell>
          <cell r="AY64">
            <v>7219895</v>
          </cell>
          <cell r="AZ64">
            <v>1</v>
          </cell>
          <cell r="BA64">
            <v>1</v>
          </cell>
          <cell r="BB64">
            <v>0</v>
          </cell>
          <cell r="BC64">
            <v>0</v>
          </cell>
          <cell r="BE64">
            <v>32975565</v>
          </cell>
          <cell r="BF64">
            <v>9785</v>
          </cell>
          <cell r="BG64">
            <v>16876</v>
          </cell>
          <cell r="BH64">
            <v>33</v>
          </cell>
          <cell r="BI64">
            <v>268213463</v>
          </cell>
          <cell r="BJ64">
            <v>281625075</v>
          </cell>
          <cell r="BL64">
            <v>1673</v>
          </cell>
          <cell r="BM64">
            <v>2062</v>
          </cell>
          <cell r="BN64">
            <v>2153</v>
          </cell>
          <cell r="BO64">
            <v>678</v>
          </cell>
          <cell r="BP64">
            <v>480</v>
          </cell>
          <cell r="BQ64">
            <v>484</v>
          </cell>
        </row>
        <row r="65">
          <cell r="A65">
            <v>254</v>
          </cell>
          <cell r="B65" t="str">
            <v>254 - Barber County North</v>
          </cell>
          <cell r="C65" t="str">
            <v>Barber</v>
          </cell>
          <cell r="D65">
            <v>71202158</v>
          </cell>
          <cell r="E65">
            <v>64716618</v>
          </cell>
          <cell r="F65">
            <v>61678508</v>
          </cell>
          <cell r="G65">
            <v>52223164</v>
          </cell>
          <cell r="H65">
            <v>446.1</v>
          </cell>
          <cell r="I65">
            <v>439</v>
          </cell>
          <cell r="J65">
            <v>718</v>
          </cell>
          <cell r="K65">
            <v>4972902</v>
          </cell>
          <cell r="L65">
            <v>461</v>
          </cell>
          <cell r="M65">
            <v>456.6</v>
          </cell>
          <cell r="N65">
            <v>451.5</v>
          </cell>
          <cell r="O65">
            <v>460.9</v>
          </cell>
          <cell r="P65">
            <v>632953</v>
          </cell>
          <cell r="Q65">
            <v>632170</v>
          </cell>
          <cell r="R65">
            <v>132289</v>
          </cell>
          <cell r="S65">
            <v>586690</v>
          </cell>
          <cell r="T65">
            <v>0</v>
          </cell>
          <cell r="U65">
            <v>0</v>
          </cell>
          <cell r="V65">
            <v>0</v>
          </cell>
          <cell r="W65">
            <v>0</v>
          </cell>
          <cell r="X65">
            <v>194</v>
          </cell>
          <cell r="Y65">
            <v>49</v>
          </cell>
          <cell r="Z65">
            <v>0</v>
          </cell>
          <cell r="AA65">
            <v>0</v>
          </cell>
          <cell r="AB65">
            <v>0.105</v>
          </cell>
          <cell r="AC65">
            <v>486973</v>
          </cell>
          <cell r="AD65">
            <v>462523</v>
          </cell>
          <cell r="AE65">
            <v>462523</v>
          </cell>
          <cell r="AF65">
            <v>461</v>
          </cell>
          <cell r="AG65">
            <v>456.6</v>
          </cell>
          <cell r="AH65">
            <v>446.5</v>
          </cell>
          <cell r="AI65">
            <v>455.5</v>
          </cell>
          <cell r="AJ65">
            <v>0</v>
          </cell>
          <cell r="AM65">
            <v>0</v>
          </cell>
          <cell r="AN65">
            <v>0</v>
          </cell>
          <cell r="AO65">
            <v>448.5</v>
          </cell>
          <cell r="AQ65">
            <v>0</v>
          </cell>
          <cell r="AT65">
            <v>0</v>
          </cell>
          <cell r="AU65">
            <v>0</v>
          </cell>
          <cell r="AV65">
            <v>4124095</v>
          </cell>
          <cell r="AW65">
            <v>0</v>
          </cell>
          <cell r="AX65">
            <v>0</v>
          </cell>
          <cell r="AY65">
            <v>133677</v>
          </cell>
          <cell r="AZ65">
            <v>1</v>
          </cell>
          <cell r="BA65">
            <v>1</v>
          </cell>
          <cell r="BB65">
            <v>0</v>
          </cell>
          <cell r="BC65">
            <v>0</v>
          </cell>
          <cell r="BE65">
            <v>4305658</v>
          </cell>
          <cell r="BF65">
            <v>3852</v>
          </cell>
          <cell r="BG65">
            <v>3456</v>
          </cell>
          <cell r="BH65">
            <v>33</v>
          </cell>
          <cell r="BI65">
            <v>71202158</v>
          </cell>
          <cell r="BJ65">
            <v>61002454</v>
          </cell>
          <cell r="BL65">
            <v>123</v>
          </cell>
          <cell r="BM65">
            <v>201</v>
          </cell>
          <cell r="BN65">
            <v>205</v>
          </cell>
          <cell r="BO65">
            <v>54</v>
          </cell>
          <cell r="BP65">
            <v>53</v>
          </cell>
          <cell r="BQ65">
            <v>42</v>
          </cell>
        </row>
        <row r="66">
          <cell r="A66">
            <v>255</v>
          </cell>
          <cell r="B66" t="str">
            <v>255 - South Barber</v>
          </cell>
          <cell r="C66" t="str">
            <v>Barber</v>
          </cell>
          <cell r="D66">
            <v>41186264</v>
          </cell>
          <cell r="E66">
            <v>38297678</v>
          </cell>
          <cell r="F66">
            <v>35074664</v>
          </cell>
          <cell r="G66">
            <v>31020659</v>
          </cell>
          <cell r="H66">
            <v>197</v>
          </cell>
          <cell r="I66">
            <v>199</v>
          </cell>
          <cell r="J66">
            <v>425.5</v>
          </cell>
          <cell r="K66">
            <v>2619086</v>
          </cell>
          <cell r="L66">
            <v>211.8</v>
          </cell>
          <cell r="M66">
            <v>202.6</v>
          </cell>
          <cell r="N66">
            <v>203.5</v>
          </cell>
          <cell r="O66">
            <v>185.5</v>
          </cell>
          <cell r="P66">
            <v>269747</v>
          </cell>
          <cell r="Q66">
            <v>286146</v>
          </cell>
          <cell r="R66">
            <v>0</v>
          </cell>
          <cell r="S66">
            <v>254322</v>
          </cell>
          <cell r="T66">
            <v>0</v>
          </cell>
          <cell r="U66">
            <v>0</v>
          </cell>
          <cell r="V66">
            <v>0</v>
          </cell>
          <cell r="W66">
            <v>0</v>
          </cell>
          <cell r="X66">
            <v>100</v>
          </cell>
          <cell r="Y66">
            <v>16</v>
          </cell>
          <cell r="Z66">
            <v>0</v>
          </cell>
          <cell r="AA66">
            <v>0</v>
          </cell>
          <cell r="AB66">
            <v>0</v>
          </cell>
          <cell r="AC66">
            <v>243932</v>
          </cell>
          <cell r="AD66">
            <v>224032</v>
          </cell>
          <cell r="AE66">
            <v>224032</v>
          </cell>
          <cell r="AF66">
            <v>211.8</v>
          </cell>
          <cell r="AG66">
            <v>202</v>
          </cell>
          <cell r="AH66">
            <v>203.5</v>
          </cell>
          <cell r="AI66">
            <v>185.5</v>
          </cell>
          <cell r="AJ66">
            <v>0</v>
          </cell>
          <cell r="AM66">
            <v>1</v>
          </cell>
          <cell r="AN66">
            <v>0</v>
          </cell>
          <cell r="AO66">
            <v>182.5</v>
          </cell>
          <cell r="AQ66">
            <v>0</v>
          </cell>
          <cell r="AT66">
            <v>0</v>
          </cell>
          <cell r="AU66">
            <v>0</v>
          </cell>
          <cell r="AV66">
            <v>2260501</v>
          </cell>
          <cell r="AW66">
            <v>0</v>
          </cell>
          <cell r="AX66">
            <v>0</v>
          </cell>
          <cell r="AY66">
            <v>0</v>
          </cell>
          <cell r="AZ66">
            <v>1</v>
          </cell>
          <cell r="BA66">
            <v>1</v>
          </cell>
          <cell r="BB66">
            <v>0</v>
          </cell>
          <cell r="BC66">
            <v>0</v>
          </cell>
          <cell r="BE66">
            <v>2294230</v>
          </cell>
          <cell r="BF66">
            <v>542</v>
          </cell>
          <cell r="BG66">
            <v>1633</v>
          </cell>
          <cell r="BH66">
            <v>32.5</v>
          </cell>
          <cell r="BI66">
            <v>41186264</v>
          </cell>
          <cell r="BJ66">
            <v>34759782</v>
          </cell>
          <cell r="BL66">
            <v>63</v>
          </cell>
          <cell r="BM66">
            <v>114</v>
          </cell>
          <cell r="BN66">
            <v>113</v>
          </cell>
          <cell r="BO66">
            <v>40</v>
          </cell>
          <cell r="BP66">
            <v>16</v>
          </cell>
          <cell r="BQ66">
            <v>13</v>
          </cell>
        </row>
        <row r="67">
          <cell r="A67">
            <v>256</v>
          </cell>
          <cell r="B67" t="str">
            <v>256 - Marmaton Valley</v>
          </cell>
          <cell r="C67" t="str">
            <v>Allen</v>
          </cell>
          <cell r="D67">
            <v>38626999</v>
          </cell>
          <cell r="E67">
            <v>35722760</v>
          </cell>
          <cell r="F67">
            <v>42192129</v>
          </cell>
          <cell r="G67">
            <v>37843135</v>
          </cell>
          <cell r="H67">
            <v>254.5</v>
          </cell>
          <cell r="I67">
            <v>252.2</v>
          </cell>
          <cell r="J67">
            <v>225</v>
          </cell>
          <cell r="K67">
            <v>3137981</v>
          </cell>
          <cell r="L67">
            <v>245.3</v>
          </cell>
          <cell r="M67">
            <v>262.5</v>
          </cell>
          <cell r="N67">
            <v>259.3</v>
          </cell>
          <cell r="O67">
            <v>263</v>
          </cell>
          <cell r="P67">
            <v>274616</v>
          </cell>
          <cell r="Q67">
            <v>318045</v>
          </cell>
          <cell r="R67">
            <v>57947</v>
          </cell>
          <cell r="S67">
            <v>442688</v>
          </cell>
          <cell r="T67">
            <v>6364</v>
          </cell>
          <cell r="U67">
            <v>2660</v>
          </cell>
          <cell r="V67">
            <v>0</v>
          </cell>
          <cell r="W67">
            <v>0</v>
          </cell>
          <cell r="X67">
            <v>131</v>
          </cell>
          <cell r="Y67">
            <v>42</v>
          </cell>
          <cell r="Z67">
            <v>0</v>
          </cell>
          <cell r="AA67">
            <v>0</v>
          </cell>
          <cell r="AB67">
            <v>5.7000000000000002E-2</v>
          </cell>
          <cell r="AC67">
            <v>265593</v>
          </cell>
          <cell r="AD67">
            <v>255365</v>
          </cell>
          <cell r="AE67">
            <v>255365</v>
          </cell>
          <cell r="AF67">
            <v>241.6</v>
          </cell>
          <cell r="AG67">
            <v>260.5</v>
          </cell>
          <cell r="AH67">
            <v>255.7</v>
          </cell>
          <cell r="AI67">
            <v>256.10000000000002</v>
          </cell>
          <cell r="AJ67">
            <v>0</v>
          </cell>
          <cell r="AM67">
            <v>0</v>
          </cell>
          <cell r="AN67">
            <v>0</v>
          </cell>
          <cell r="AO67">
            <v>252.6</v>
          </cell>
          <cell r="AQ67">
            <v>0</v>
          </cell>
          <cell r="AT67">
            <v>0</v>
          </cell>
          <cell r="AU67">
            <v>0</v>
          </cell>
          <cell r="AV67">
            <v>2623014</v>
          </cell>
          <cell r="AW67">
            <v>0</v>
          </cell>
          <cell r="AX67">
            <v>0</v>
          </cell>
          <cell r="AY67">
            <v>20100</v>
          </cell>
          <cell r="AZ67">
            <v>1</v>
          </cell>
          <cell r="BA67">
            <v>1</v>
          </cell>
          <cell r="BB67">
            <v>0</v>
          </cell>
          <cell r="BC67">
            <v>0</v>
          </cell>
          <cell r="BE67">
            <v>2819207</v>
          </cell>
          <cell r="BF67">
            <v>634</v>
          </cell>
          <cell r="BG67">
            <v>212</v>
          </cell>
          <cell r="BH67">
            <v>33</v>
          </cell>
          <cell r="BI67">
            <v>38626999</v>
          </cell>
          <cell r="BJ67">
            <v>42192129</v>
          </cell>
          <cell r="BL67">
            <v>83</v>
          </cell>
          <cell r="BM67">
            <v>123</v>
          </cell>
          <cell r="BN67">
            <v>124</v>
          </cell>
          <cell r="BO67">
            <v>42</v>
          </cell>
          <cell r="BP67">
            <v>33</v>
          </cell>
          <cell r="BQ67">
            <v>31</v>
          </cell>
        </row>
        <row r="68">
          <cell r="A68">
            <v>257</v>
          </cell>
          <cell r="B68" t="str">
            <v>257 - Iola</v>
          </cell>
          <cell r="C68" t="str">
            <v>Allen</v>
          </cell>
          <cell r="D68">
            <v>66683328</v>
          </cell>
          <cell r="E68">
            <v>52168589</v>
          </cell>
          <cell r="F68">
            <v>70398856</v>
          </cell>
          <cell r="G68">
            <v>48168726</v>
          </cell>
          <cell r="H68">
            <v>1058.8</v>
          </cell>
          <cell r="I68">
            <v>1043.7</v>
          </cell>
          <cell r="J68">
            <v>140.5</v>
          </cell>
          <cell r="K68">
            <v>10707839</v>
          </cell>
          <cell r="L68">
            <v>1073.3</v>
          </cell>
          <cell r="M68">
            <v>1099.5</v>
          </cell>
          <cell r="N68">
            <v>1082.7</v>
          </cell>
          <cell r="O68">
            <v>1057.8</v>
          </cell>
          <cell r="P68">
            <v>1199478</v>
          </cell>
          <cell r="Q68">
            <v>1413571</v>
          </cell>
          <cell r="R68">
            <v>2364668</v>
          </cell>
          <cell r="S68">
            <v>1748337</v>
          </cell>
          <cell r="T68">
            <v>8835</v>
          </cell>
          <cell r="U68">
            <v>10711</v>
          </cell>
          <cell r="V68">
            <v>0.19</v>
          </cell>
          <cell r="W68">
            <v>0.67</v>
          </cell>
          <cell r="X68">
            <v>551</v>
          </cell>
          <cell r="Y68">
            <v>106</v>
          </cell>
          <cell r="Z68">
            <v>0.66</v>
          </cell>
          <cell r="AA68">
            <v>0.11</v>
          </cell>
          <cell r="AB68">
            <v>0.62690000000000001</v>
          </cell>
          <cell r="AC68">
            <v>1113349</v>
          </cell>
          <cell r="AD68">
            <v>1102492</v>
          </cell>
          <cell r="AE68">
            <v>1102492</v>
          </cell>
          <cell r="AF68">
            <v>1067.8</v>
          </cell>
          <cell r="AG68">
            <v>1089.3</v>
          </cell>
          <cell r="AH68">
            <v>1078.2</v>
          </cell>
          <cell r="AI68">
            <v>1044.5999999999999</v>
          </cell>
          <cell r="AJ68">
            <v>0</v>
          </cell>
          <cell r="AM68">
            <v>1</v>
          </cell>
          <cell r="AN68">
            <v>0</v>
          </cell>
          <cell r="AO68">
            <v>1015.6</v>
          </cell>
          <cell r="AQ68">
            <v>0</v>
          </cell>
          <cell r="AT68">
            <v>0</v>
          </cell>
          <cell r="AU68">
            <v>0</v>
          </cell>
          <cell r="AV68">
            <v>9023863</v>
          </cell>
          <cell r="AW68">
            <v>364621</v>
          </cell>
          <cell r="AX68">
            <v>402633</v>
          </cell>
          <cell r="AY68">
            <v>2345017</v>
          </cell>
          <cell r="AZ68">
            <v>1</v>
          </cell>
          <cell r="BA68">
            <v>1</v>
          </cell>
          <cell r="BB68">
            <v>0</v>
          </cell>
          <cell r="BC68">
            <v>0</v>
          </cell>
          <cell r="BE68">
            <v>9293196</v>
          </cell>
          <cell r="BF68">
            <v>0</v>
          </cell>
          <cell r="BG68">
            <v>0</v>
          </cell>
          <cell r="BH68">
            <v>33</v>
          </cell>
          <cell r="BI68">
            <v>65328904</v>
          </cell>
          <cell r="BJ68">
            <v>68961244</v>
          </cell>
          <cell r="BL68">
            <v>501</v>
          </cell>
          <cell r="BM68">
            <v>600</v>
          </cell>
          <cell r="BN68">
            <v>615</v>
          </cell>
          <cell r="BO68">
            <v>146</v>
          </cell>
          <cell r="BP68">
            <v>113</v>
          </cell>
          <cell r="BQ68">
            <v>123</v>
          </cell>
        </row>
        <row r="69">
          <cell r="A69">
            <v>258</v>
          </cell>
          <cell r="B69" t="str">
            <v>258 - Humboldt</v>
          </cell>
          <cell r="C69" t="str">
            <v>Allen</v>
          </cell>
          <cell r="D69">
            <v>67049234</v>
          </cell>
          <cell r="E69">
            <v>62026471</v>
          </cell>
          <cell r="F69">
            <v>73149318</v>
          </cell>
          <cell r="G69">
            <v>65374587</v>
          </cell>
          <cell r="H69">
            <v>618</v>
          </cell>
          <cell r="I69">
            <v>579.5</v>
          </cell>
          <cell r="J69">
            <v>126</v>
          </cell>
          <cell r="K69">
            <v>8157559</v>
          </cell>
          <cell r="L69">
            <v>903.1</v>
          </cell>
          <cell r="M69">
            <v>924.5</v>
          </cell>
          <cell r="N69">
            <v>976.6</v>
          </cell>
          <cell r="O69">
            <v>940.6</v>
          </cell>
          <cell r="P69">
            <v>912590</v>
          </cell>
          <cell r="Q69">
            <v>1082601</v>
          </cell>
          <cell r="R69">
            <v>1231108</v>
          </cell>
          <cell r="S69">
            <v>610724</v>
          </cell>
          <cell r="T69">
            <v>0</v>
          </cell>
          <cell r="U69">
            <v>0</v>
          </cell>
          <cell r="V69">
            <v>0</v>
          </cell>
          <cell r="W69">
            <v>0.56999999999999995</v>
          </cell>
          <cell r="X69">
            <v>218</v>
          </cell>
          <cell r="Y69">
            <v>81</v>
          </cell>
          <cell r="Z69">
            <v>0.56000000000000005</v>
          </cell>
          <cell r="AA69">
            <v>0.01</v>
          </cell>
          <cell r="AB69">
            <v>0.56389999999999996</v>
          </cell>
          <cell r="AC69">
            <v>727741</v>
          </cell>
          <cell r="AD69">
            <v>690356</v>
          </cell>
          <cell r="AE69">
            <v>690356</v>
          </cell>
          <cell r="AF69">
            <v>635.5</v>
          </cell>
          <cell r="AG69">
            <v>626.5</v>
          </cell>
          <cell r="AH69">
            <v>587</v>
          </cell>
          <cell r="AI69">
            <v>616.79999999999995</v>
          </cell>
          <cell r="AJ69">
            <v>0</v>
          </cell>
          <cell r="AM69">
            <v>1</v>
          </cell>
          <cell r="AN69">
            <v>0</v>
          </cell>
          <cell r="AO69">
            <v>605.29999999999995</v>
          </cell>
          <cell r="AQ69">
            <v>0</v>
          </cell>
          <cell r="AT69">
            <v>0</v>
          </cell>
          <cell r="AU69">
            <v>0</v>
          </cell>
          <cell r="AV69">
            <v>7495297</v>
          </cell>
          <cell r="AW69">
            <v>294133</v>
          </cell>
          <cell r="AX69">
            <v>378973</v>
          </cell>
          <cell r="AY69">
            <v>1149818</v>
          </cell>
          <cell r="AZ69">
            <v>1</v>
          </cell>
          <cell r="BA69">
            <v>1</v>
          </cell>
          <cell r="BB69">
            <v>0</v>
          </cell>
          <cell r="BC69">
            <v>0</v>
          </cell>
          <cell r="BE69">
            <v>7074068</v>
          </cell>
          <cell r="BF69">
            <v>6065</v>
          </cell>
          <cell r="BG69">
            <v>10572</v>
          </cell>
          <cell r="BH69">
            <v>33</v>
          </cell>
          <cell r="BI69">
            <v>64696944</v>
          </cell>
          <cell r="BJ69">
            <v>70703937</v>
          </cell>
          <cell r="BL69">
            <v>226</v>
          </cell>
          <cell r="BM69">
            <v>283</v>
          </cell>
          <cell r="BN69">
            <v>270</v>
          </cell>
          <cell r="BO69">
            <v>76</v>
          </cell>
          <cell r="BP69">
            <v>48</v>
          </cell>
          <cell r="BQ69">
            <v>36</v>
          </cell>
        </row>
        <row r="70">
          <cell r="A70">
            <v>259</v>
          </cell>
          <cell r="B70" t="str">
            <v>259 - Wichita</v>
          </cell>
          <cell r="C70" t="str">
            <v>Sedgwick</v>
          </cell>
          <cell r="D70">
            <v>3588913557</v>
          </cell>
          <cell r="E70">
            <v>3079154127</v>
          </cell>
          <cell r="F70">
            <v>3855851731</v>
          </cell>
          <cell r="G70">
            <v>2986633145</v>
          </cell>
          <cell r="H70">
            <v>43397</v>
          </cell>
          <cell r="I70">
            <v>43142.5</v>
          </cell>
          <cell r="J70">
            <v>151</v>
          </cell>
          <cell r="K70">
            <v>440577098</v>
          </cell>
          <cell r="L70">
            <v>44594.2</v>
          </cell>
          <cell r="M70">
            <v>44771.199999999997</v>
          </cell>
          <cell r="N70">
            <v>44524.1</v>
          </cell>
          <cell r="O70">
            <v>44324.2</v>
          </cell>
          <cell r="P70">
            <v>57478918</v>
          </cell>
          <cell r="Q70">
            <v>64408644</v>
          </cell>
          <cell r="R70">
            <v>76352575</v>
          </cell>
          <cell r="S70">
            <v>39142041</v>
          </cell>
          <cell r="T70">
            <v>21084</v>
          </cell>
          <cell r="U70">
            <v>32053</v>
          </cell>
          <cell r="V70">
            <v>0</v>
          </cell>
          <cell r="W70">
            <v>0.45</v>
          </cell>
          <cell r="X70">
            <v>32013</v>
          </cell>
          <cell r="Y70">
            <v>3818</v>
          </cell>
          <cell r="Z70">
            <v>0.46</v>
          </cell>
          <cell r="AA70">
            <v>0</v>
          </cell>
          <cell r="AB70">
            <v>0.50419999999999998</v>
          </cell>
          <cell r="AC70">
            <v>56992845</v>
          </cell>
          <cell r="AD70">
            <v>52567537</v>
          </cell>
          <cell r="AE70">
            <v>52567537</v>
          </cell>
          <cell r="AF70">
            <v>44295.8</v>
          </cell>
          <cell r="AG70">
            <v>44306</v>
          </cell>
          <cell r="AH70">
            <v>43993</v>
          </cell>
          <cell r="AI70">
            <v>43780.1</v>
          </cell>
          <cell r="AJ70">
            <v>0</v>
          </cell>
          <cell r="AM70">
            <v>168</v>
          </cell>
          <cell r="AN70">
            <v>0</v>
          </cell>
          <cell r="AO70">
            <v>42890.6</v>
          </cell>
          <cell r="AQ70">
            <v>0</v>
          </cell>
          <cell r="AT70">
            <v>0</v>
          </cell>
          <cell r="AU70">
            <v>0</v>
          </cell>
          <cell r="AV70">
            <v>357336330</v>
          </cell>
          <cell r="AW70">
            <v>14648826</v>
          </cell>
          <cell r="AX70">
            <v>16055705</v>
          </cell>
          <cell r="AY70">
            <v>72609318</v>
          </cell>
          <cell r="AZ70">
            <v>1</v>
          </cell>
          <cell r="BA70">
            <v>1</v>
          </cell>
          <cell r="BB70">
            <v>246120</v>
          </cell>
          <cell r="BC70">
            <v>246690</v>
          </cell>
          <cell r="BE70">
            <v>376168338</v>
          </cell>
          <cell r="BF70">
            <v>130846</v>
          </cell>
          <cell r="BG70">
            <v>147400</v>
          </cell>
          <cell r="BH70">
            <v>33</v>
          </cell>
          <cell r="BI70">
            <v>3590847384</v>
          </cell>
          <cell r="BJ70">
            <v>3859544329</v>
          </cell>
          <cell r="BL70">
            <v>28701</v>
          </cell>
          <cell r="BM70">
            <v>32518</v>
          </cell>
          <cell r="BN70">
            <v>32685</v>
          </cell>
          <cell r="BO70">
            <v>4830</v>
          </cell>
          <cell r="BP70">
            <v>3714</v>
          </cell>
          <cell r="BQ70">
            <v>3613</v>
          </cell>
        </row>
        <row r="71">
          <cell r="A71">
            <v>260</v>
          </cell>
          <cell r="B71" t="str">
            <v>260 - Derby</v>
          </cell>
          <cell r="C71" t="str">
            <v>Sedgwick</v>
          </cell>
          <cell r="D71">
            <v>526846146</v>
          </cell>
          <cell r="E71">
            <v>468998957</v>
          </cell>
          <cell r="F71">
            <v>560460567</v>
          </cell>
          <cell r="G71">
            <v>459737235</v>
          </cell>
          <cell r="H71">
            <v>6804.5</v>
          </cell>
          <cell r="I71">
            <v>6811.6</v>
          </cell>
          <cell r="J71">
            <v>50</v>
          </cell>
          <cell r="K71">
            <v>56771044</v>
          </cell>
          <cell r="L71">
            <v>6837.1</v>
          </cell>
          <cell r="M71">
            <v>6878.3</v>
          </cell>
          <cell r="N71">
            <v>6889.5</v>
          </cell>
          <cell r="O71">
            <v>6983.8</v>
          </cell>
          <cell r="P71">
            <v>6780577</v>
          </cell>
          <cell r="Q71">
            <v>7731921</v>
          </cell>
          <cell r="R71">
            <v>9769496</v>
          </cell>
          <cell r="S71">
            <v>5092269</v>
          </cell>
          <cell r="T71">
            <v>16191</v>
          </cell>
          <cell r="U71">
            <v>15408</v>
          </cell>
          <cell r="V71">
            <v>0.04</v>
          </cell>
          <cell r="W71">
            <v>0.51</v>
          </cell>
          <cell r="X71">
            <v>2822</v>
          </cell>
          <cell r="Y71">
            <v>699</v>
          </cell>
          <cell r="Z71">
            <v>0.51</v>
          </cell>
          <cell r="AA71">
            <v>0</v>
          </cell>
          <cell r="AB71">
            <v>0.52739999999999998</v>
          </cell>
          <cell r="AC71">
            <v>7243246</v>
          </cell>
          <cell r="AD71">
            <v>6996410</v>
          </cell>
          <cell r="AE71">
            <v>6996410</v>
          </cell>
          <cell r="AF71">
            <v>6831.3</v>
          </cell>
          <cell r="AG71">
            <v>6870.5</v>
          </cell>
          <cell r="AH71">
            <v>6880.1</v>
          </cell>
          <cell r="AI71">
            <v>6926.2</v>
          </cell>
          <cell r="AJ71">
            <v>0</v>
          </cell>
          <cell r="AM71">
            <v>1375</v>
          </cell>
          <cell r="AN71">
            <v>1</v>
          </cell>
          <cell r="AO71">
            <v>6888.7</v>
          </cell>
          <cell r="AQ71">
            <v>26</v>
          </cell>
          <cell r="AT71">
            <v>26</v>
          </cell>
          <cell r="AU71">
            <v>0</v>
          </cell>
          <cell r="AV71">
            <v>45859743</v>
          </cell>
          <cell r="AW71">
            <v>2144309</v>
          </cell>
          <cell r="AX71">
            <v>2529554</v>
          </cell>
          <cell r="AY71">
            <v>8950247</v>
          </cell>
          <cell r="AZ71">
            <v>1</v>
          </cell>
          <cell r="BA71">
            <v>0.94</v>
          </cell>
          <cell r="BB71">
            <v>233000</v>
          </cell>
          <cell r="BC71">
            <v>261080</v>
          </cell>
          <cell r="BE71">
            <v>49039123</v>
          </cell>
          <cell r="BF71">
            <v>15402</v>
          </cell>
          <cell r="BG71">
            <v>17610</v>
          </cell>
          <cell r="BH71">
            <v>33</v>
          </cell>
          <cell r="BI71">
            <v>529722247</v>
          </cell>
          <cell r="BJ71">
            <v>564732368</v>
          </cell>
          <cell r="BL71">
            <v>2323</v>
          </cell>
          <cell r="BM71">
            <v>2706</v>
          </cell>
          <cell r="BN71">
            <v>2810</v>
          </cell>
          <cell r="BO71">
            <v>764</v>
          </cell>
          <cell r="BP71">
            <v>518</v>
          </cell>
          <cell r="BQ71">
            <v>643</v>
          </cell>
        </row>
        <row r="72">
          <cell r="A72">
            <v>261</v>
          </cell>
          <cell r="B72" t="str">
            <v>261 - Haysville</v>
          </cell>
          <cell r="C72" t="str">
            <v>Sedgwick</v>
          </cell>
          <cell r="D72">
            <v>205748474</v>
          </cell>
          <cell r="E72">
            <v>165990320</v>
          </cell>
          <cell r="F72">
            <v>224303974</v>
          </cell>
          <cell r="G72">
            <v>155071472</v>
          </cell>
          <cell r="H72">
            <v>5477.4</v>
          </cell>
          <cell r="I72">
            <v>5186</v>
          </cell>
          <cell r="J72">
            <v>36</v>
          </cell>
          <cell r="K72">
            <v>49054227</v>
          </cell>
          <cell r="L72">
            <v>5556.6</v>
          </cell>
          <cell r="M72">
            <v>5614.9</v>
          </cell>
          <cell r="N72">
            <v>5367</v>
          </cell>
          <cell r="O72">
            <v>5245.9</v>
          </cell>
          <cell r="P72">
            <v>6224015</v>
          </cell>
          <cell r="Q72">
            <v>7328530</v>
          </cell>
          <cell r="R72">
            <v>12627274</v>
          </cell>
          <cell r="S72">
            <v>4441727</v>
          </cell>
          <cell r="T72">
            <v>23956</v>
          </cell>
          <cell r="U72">
            <v>29323</v>
          </cell>
          <cell r="V72">
            <v>0.42</v>
          </cell>
          <cell r="W72">
            <v>0.88</v>
          </cell>
          <cell r="X72">
            <v>2764</v>
          </cell>
          <cell r="Y72">
            <v>386</v>
          </cell>
          <cell r="Z72">
            <v>0.88</v>
          </cell>
          <cell r="AA72">
            <v>0.33</v>
          </cell>
          <cell r="AB72">
            <v>0.76200000000000001</v>
          </cell>
          <cell r="AC72">
            <v>6272359</v>
          </cell>
          <cell r="AD72">
            <v>6261548</v>
          </cell>
          <cell r="AE72">
            <v>6261548</v>
          </cell>
          <cell r="AF72">
            <v>5531.6</v>
          </cell>
          <cell r="AG72">
            <v>5582.9</v>
          </cell>
          <cell r="AH72">
            <v>5274</v>
          </cell>
          <cell r="AI72">
            <v>5156.8999999999996</v>
          </cell>
          <cell r="AJ72">
            <v>0</v>
          </cell>
          <cell r="AM72">
            <v>11</v>
          </cell>
          <cell r="AN72">
            <v>0</v>
          </cell>
          <cell r="AO72">
            <v>5066.8999999999996</v>
          </cell>
          <cell r="AQ72">
            <v>0</v>
          </cell>
          <cell r="AT72">
            <v>0</v>
          </cell>
          <cell r="AU72">
            <v>0</v>
          </cell>
          <cell r="AV72">
            <v>40407309</v>
          </cell>
          <cell r="AW72">
            <v>1513470</v>
          </cell>
          <cell r="AX72">
            <v>1735655</v>
          </cell>
          <cell r="AY72">
            <v>12123066</v>
          </cell>
          <cell r="AZ72">
            <v>1</v>
          </cell>
          <cell r="BA72">
            <v>1</v>
          </cell>
          <cell r="BB72">
            <v>180800</v>
          </cell>
          <cell r="BC72">
            <v>181910</v>
          </cell>
          <cell r="BE72">
            <v>41724574</v>
          </cell>
          <cell r="BF72">
            <v>19439</v>
          </cell>
          <cell r="BG72">
            <v>16124</v>
          </cell>
          <cell r="BH72">
            <v>33</v>
          </cell>
          <cell r="BI72">
            <v>205748474</v>
          </cell>
          <cell r="BJ72">
            <v>228575585</v>
          </cell>
          <cell r="BL72">
            <v>2159</v>
          </cell>
          <cell r="BM72">
            <v>2758</v>
          </cell>
          <cell r="BN72">
            <v>2780</v>
          </cell>
          <cell r="BO72">
            <v>629</v>
          </cell>
          <cell r="BP72">
            <v>414</v>
          </cell>
          <cell r="BQ72">
            <v>366</v>
          </cell>
        </row>
        <row r="73">
          <cell r="A73">
            <v>262</v>
          </cell>
          <cell r="B73" t="str">
            <v>262 - Valley Center Pub Sch</v>
          </cell>
          <cell r="C73" t="str">
            <v>Sedgwick</v>
          </cell>
          <cell r="D73">
            <v>217340543</v>
          </cell>
          <cell r="E73">
            <v>189810744</v>
          </cell>
          <cell r="F73">
            <v>237216484</v>
          </cell>
          <cell r="G73">
            <v>187846226</v>
          </cell>
          <cell r="H73">
            <v>3036.1</v>
          </cell>
          <cell r="I73">
            <v>3016.1</v>
          </cell>
          <cell r="J73">
            <v>83</v>
          </cell>
          <cell r="K73">
            <v>26351111</v>
          </cell>
          <cell r="L73">
            <v>3035.2</v>
          </cell>
          <cell r="M73">
            <v>3127.6</v>
          </cell>
          <cell r="N73">
            <v>3114.4</v>
          </cell>
          <cell r="O73">
            <v>3106</v>
          </cell>
          <cell r="P73">
            <v>3585665</v>
          </cell>
          <cell r="Q73">
            <v>4298882</v>
          </cell>
          <cell r="R73">
            <v>4973799</v>
          </cell>
          <cell r="S73">
            <v>2337803</v>
          </cell>
          <cell r="T73">
            <v>16939</v>
          </cell>
          <cell r="U73">
            <v>13671</v>
          </cell>
          <cell r="V73">
            <v>7.0000000000000007E-2</v>
          </cell>
          <cell r="W73">
            <v>0.52</v>
          </cell>
          <cell r="X73">
            <v>1136</v>
          </cell>
          <cell r="Y73">
            <v>256</v>
          </cell>
          <cell r="Z73">
            <v>0.55000000000000004</v>
          </cell>
          <cell r="AA73">
            <v>0</v>
          </cell>
          <cell r="AB73">
            <v>0.56510000000000005</v>
          </cell>
          <cell r="AC73">
            <v>3653783</v>
          </cell>
          <cell r="AD73">
            <v>3566116</v>
          </cell>
          <cell r="AE73">
            <v>3566116</v>
          </cell>
          <cell r="AF73">
            <v>2964.1</v>
          </cell>
          <cell r="AG73">
            <v>3068.1</v>
          </cell>
          <cell r="AH73">
            <v>3049.1</v>
          </cell>
          <cell r="AI73">
            <v>3038.5</v>
          </cell>
          <cell r="AJ73">
            <v>0</v>
          </cell>
          <cell r="AM73">
            <v>49</v>
          </cell>
          <cell r="AN73">
            <v>0</v>
          </cell>
          <cell r="AO73">
            <v>3001.5</v>
          </cell>
          <cell r="AQ73">
            <v>0</v>
          </cell>
          <cell r="AT73">
            <v>0</v>
          </cell>
          <cell r="AU73">
            <v>0</v>
          </cell>
          <cell r="AV73">
            <v>20895724</v>
          </cell>
          <cell r="AW73">
            <v>920888</v>
          </cell>
          <cell r="AX73">
            <v>844534</v>
          </cell>
          <cell r="AY73">
            <v>4667847</v>
          </cell>
          <cell r="AZ73">
            <v>0.98</v>
          </cell>
          <cell r="BA73">
            <v>1</v>
          </cell>
          <cell r="BB73">
            <v>73030</v>
          </cell>
          <cell r="BC73">
            <v>73090</v>
          </cell>
          <cell r="BE73">
            <v>22048222</v>
          </cell>
          <cell r="BF73">
            <v>10624</v>
          </cell>
          <cell r="BG73">
            <v>6130</v>
          </cell>
          <cell r="BH73">
            <v>33</v>
          </cell>
          <cell r="BI73">
            <v>223950893</v>
          </cell>
          <cell r="BJ73">
            <v>247008422</v>
          </cell>
          <cell r="BL73">
            <v>709</v>
          </cell>
          <cell r="BM73">
            <v>1088</v>
          </cell>
          <cell r="BN73">
            <v>1101</v>
          </cell>
          <cell r="BO73">
            <v>391</v>
          </cell>
          <cell r="BP73">
            <v>179</v>
          </cell>
          <cell r="BQ73">
            <v>241</v>
          </cell>
        </row>
        <row r="74">
          <cell r="A74">
            <v>263</v>
          </cell>
          <cell r="B74" t="str">
            <v>263 - Mulvane</v>
          </cell>
          <cell r="C74" t="str">
            <v>Sedgwick</v>
          </cell>
          <cell r="D74">
            <v>129691043</v>
          </cell>
          <cell r="E74">
            <v>111265872</v>
          </cell>
          <cell r="F74">
            <v>139772670</v>
          </cell>
          <cell r="G74">
            <v>107401041</v>
          </cell>
          <cell r="H74">
            <v>1753</v>
          </cell>
          <cell r="I74">
            <v>1726.8</v>
          </cell>
          <cell r="J74">
            <v>82.4</v>
          </cell>
          <cell r="K74">
            <v>13805864</v>
          </cell>
          <cell r="L74">
            <v>1742</v>
          </cell>
          <cell r="M74">
            <v>1778</v>
          </cell>
          <cell r="N74">
            <v>1752.3</v>
          </cell>
          <cell r="O74">
            <v>1662.7</v>
          </cell>
          <cell r="P74">
            <v>1897303</v>
          </cell>
          <cell r="Q74">
            <v>2096593</v>
          </cell>
          <cell r="R74">
            <v>2311968</v>
          </cell>
          <cell r="S74">
            <v>1238221</v>
          </cell>
          <cell r="T74">
            <v>0</v>
          </cell>
          <cell r="U74">
            <v>0</v>
          </cell>
          <cell r="V74">
            <v>0.01</v>
          </cell>
          <cell r="W74">
            <v>0.48</v>
          </cell>
          <cell r="X74">
            <v>527</v>
          </cell>
          <cell r="Y74">
            <v>117</v>
          </cell>
          <cell r="Z74">
            <v>0.47</v>
          </cell>
          <cell r="AA74">
            <v>0</v>
          </cell>
          <cell r="AB74">
            <v>0.53590000000000004</v>
          </cell>
          <cell r="AC74">
            <v>1958881</v>
          </cell>
          <cell r="AD74">
            <v>1845903</v>
          </cell>
          <cell r="AE74">
            <v>1845903</v>
          </cell>
          <cell r="AF74">
            <v>1742</v>
          </cell>
          <cell r="AG74">
            <v>1778</v>
          </cell>
          <cell r="AH74">
            <v>1752.3</v>
          </cell>
          <cell r="AI74">
            <v>1662.7</v>
          </cell>
          <cell r="AJ74">
            <v>0</v>
          </cell>
          <cell r="AM74">
            <v>47</v>
          </cell>
          <cell r="AN74">
            <v>0</v>
          </cell>
          <cell r="AO74">
            <v>1637.7</v>
          </cell>
          <cell r="AQ74">
            <v>0</v>
          </cell>
          <cell r="AT74">
            <v>0</v>
          </cell>
          <cell r="AU74">
            <v>0</v>
          </cell>
          <cell r="AV74">
            <v>11456396</v>
          </cell>
          <cell r="AW74">
            <v>620702</v>
          </cell>
          <cell r="AX74">
            <v>657650</v>
          </cell>
          <cell r="AY74">
            <v>2557133</v>
          </cell>
          <cell r="AZ74">
            <v>1</v>
          </cell>
          <cell r="BA74">
            <v>1</v>
          </cell>
          <cell r="BB74">
            <v>11830</v>
          </cell>
          <cell r="BC74">
            <v>0</v>
          </cell>
          <cell r="BE74">
            <v>11708879</v>
          </cell>
          <cell r="BF74">
            <v>1846</v>
          </cell>
          <cell r="BG74">
            <v>1782</v>
          </cell>
          <cell r="BH74">
            <v>33</v>
          </cell>
          <cell r="BI74">
            <v>129329132</v>
          </cell>
          <cell r="BJ74">
            <v>139384906</v>
          </cell>
          <cell r="BL74">
            <v>406</v>
          </cell>
          <cell r="BM74">
            <v>597</v>
          </cell>
          <cell r="BN74">
            <v>623</v>
          </cell>
          <cell r="BO74">
            <v>152</v>
          </cell>
          <cell r="BP74">
            <v>160</v>
          </cell>
          <cell r="BQ74">
            <v>108</v>
          </cell>
        </row>
        <row r="75">
          <cell r="A75">
            <v>264</v>
          </cell>
          <cell r="B75" t="str">
            <v>264 - Clearwater</v>
          </cell>
          <cell r="C75" t="str">
            <v>Sedgwick</v>
          </cell>
          <cell r="D75">
            <v>81471356</v>
          </cell>
          <cell r="E75">
            <v>71215313</v>
          </cell>
          <cell r="F75">
            <v>89793553</v>
          </cell>
          <cell r="G75">
            <v>71811335</v>
          </cell>
          <cell r="H75">
            <v>1074.7</v>
          </cell>
          <cell r="I75">
            <v>1047.2</v>
          </cell>
          <cell r="J75">
            <v>136</v>
          </cell>
          <cell r="K75">
            <v>9754190</v>
          </cell>
          <cell r="L75">
            <v>1107.5999999999999</v>
          </cell>
          <cell r="M75">
            <v>1078.7</v>
          </cell>
          <cell r="N75">
            <v>1055.2</v>
          </cell>
          <cell r="O75">
            <v>1049</v>
          </cell>
          <cell r="P75">
            <v>1461919</v>
          </cell>
          <cell r="Q75">
            <v>1364504</v>
          </cell>
          <cell r="R75">
            <v>1742652</v>
          </cell>
          <cell r="S75">
            <v>1100218</v>
          </cell>
          <cell r="T75">
            <v>0</v>
          </cell>
          <cell r="U75">
            <v>0</v>
          </cell>
          <cell r="V75">
            <v>0</v>
          </cell>
          <cell r="W75">
            <v>0.44</v>
          </cell>
          <cell r="X75">
            <v>308</v>
          </cell>
          <cell r="Y75">
            <v>60</v>
          </cell>
          <cell r="Z75">
            <v>0.45</v>
          </cell>
          <cell r="AA75">
            <v>0</v>
          </cell>
          <cell r="AB75">
            <v>0.50749999999999995</v>
          </cell>
          <cell r="AC75">
            <v>941742</v>
          </cell>
          <cell r="AD75">
            <v>936747</v>
          </cell>
          <cell r="AE75">
            <v>936747</v>
          </cell>
          <cell r="AF75">
            <v>1107.5999999999999</v>
          </cell>
          <cell r="AG75">
            <v>1078.7</v>
          </cell>
          <cell r="AH75">
            <v>1055.2</v>
          </cell>
          <cell r="AI75">
            <v>1048.5</v>
          </cell>
          <cell r="AJ75">
            <v>0</v>
          </cell>
          <cell r="AM75">
            <v>5</v>
          </cell>
          <cell r="AN75">
            <v>0</v>
          </cell>
          <cell r="AO75">
            <v>1038</v>
          </cell>
          <cell r="AQ75">
            <v>0</v>
          </cell>
          <cell r="AT75">
            <v>0</v>
          </cell>
          <cell r="AU75">
            <v>0</v>
          </cell>
          <cell r="AV75">
            <v>8086918</v>
          </cell>
          <cell r="AW75">
            <v>331829</v>
          </cell>
          <cell r="AX75">
            <v>397182</v>
          </cell>
          <cell r="AY75">
            <v>1656730</v>
          </cell>
          <cell r="AZ75">
            <v>1</v>
          </cell>
          <cell r="BA75">
            <v>1</v>
          </cell>
          <cell r="BB75">
            <v>0</v>
          </cell>
          <cell r="BC75">
            <v>0</v>
          </cell>
          <cell r="BE75">
            <v>8387211</v>
          </cell>
          <cell r="BF75">
            <v>12563</v>
          </cell>
          <cell r="BG75">
            <v>5301</v>
          </cell>
          <cell r="BH75">
            <v>33</v>
          </cell>
          <cell r="BI75">
            <v>83684248</v>
          </cell>
          <cell r="BJ75">
            <v>92020843</v>
          </cell>
          <cell r="BL75">
            <v>222</v>
          </cell>
          <cell r="BM75">
            <v>301</v>
          </cell>
          <cell r="BN75">
            <v>307</v>
          </cell>
          <cell r="BO75">
            <v>97</v>
          </cell>
          <cell r="BP75">
            <v>80</v>
          </cell>
          <cell r="BQ75">
            <v>60</v>
          </cell>
        </row>
        <row r="76">
          <cell r="A76">
            <v>265</v>
          </cell>
          <cell r="B76" t="str">
            <v>265 - Goddard</v>
          </cell>
          <cell r="C76" t="str">
            <v>Sedgwick</v>
          </cell>
          <cell r="D76">
            <v>418699922</v>
          </cell>
          <cell r="E76">
            <v>365585047</v>
          </cell>
          <cell r="F76">
            <v>460030689</v>
          </cell>
          <cell r="G76">
            <v>363363480</v>
          </cell>
          <cell r="H76">
            <v>5950.6</v>
          </cell>
          <cell r="I76">
            <v>5913.5</v>
          </cell>
          <cell r="J76">
            <v>65.099999999999994</v>
          </cell>
          <cell r="K76">
            <v>49929850</v>
          </cell>
          <cell r="L76">
            <v>6004.7</v>
          </cell>
          <cell r="M76">
            <v>6020.3</v>
          </cell>
          <cell r="N76">
            <v>5979.4</v>
          </cell>
          <cell r="O76">
            <v>6007.6</v>
          </cell>
          <cell r="P76">
            <v>7386238</v>
          </cell>
          <cell r="Q76">
            <v>8435172</v>
          </cell>
          <cell r="R76">
            <v>9900127</v>
          </cell>
          <cell r="S76">
            <v>3914158</v>
          </cell>
          <cell r="T76">
            <v>25854</v>
          </cell>
          <cell r="U76">
            <v>39934</v>
          </cell>
          <cell r="V76">
            <v>0.08</v>
          </cell>
          <cell r="W76">
            <v>0.54</v>
          </cell>
          <cell r="X76">
            <v>1552</v>
          </cell>
          <cell r="Y76">
            <v>329</v>
          </cell>
          <cell r="Z76">
            <v>0.54</v>
          </cell>
          <cell r="AA76">
            <v>0</v>
          </cell>
          <cell r="AB76">
            <v>0.56669999999999998</v>
          </cell>
          <cell r="AC76">
            <v>7268263</v>
          </cell>
          <cell r="AD76">
            <v>7166346</v>
          </cell>
          <cell r="AE76">
            <v>7166346</v>
          </cell>
          <cell r="AF76">
            <v>5905.5</v>
          </cell>
          <cell r="AG76">
            <v>5983.6</v>
          </cell>
          <cell r="AH76">
            <v>5943</v>
          </cell>
          <cell r="AI76">
            <v>5973</v>
          </cell>
          <cell r="AJ76">
            <v>8.6E-3</v>
          </cell>
          <cell r="AM76">
            <v>115</v>
          </cell>
          <cell r="AN76">
            <v>0</v>
          </cell>
          <cell r="AO76">
            <v>5926.5</v>
          </cell>
          <cell r="AQ76">
            <v>0</v>
          </cell>
          <cell r="AT76">
            <v>0</v>
          </cell>
          <cell r="AU76">
            <v>0</v>
          </cell>
          <cell r="AV76">
            <v>39248867</v>
          </cell>
          <cell r="AW76">
            <v>2134715</v>
          </cell>
          <cell r="AX76">
            <v>2320100</v>
          </cell>
          <cell r="AY76">
            <v>9491497</v>
          </cell>
          <cell r="AZ76">
            <v>1</v>
          </cell>
          <cell r="BA76">
            <v>1</v>
          </cell>
          <cell r="BB76">
            <v>80560</v>
          </cell>
          <cell r="BC76">
            <v>80930</v>
          </cell>
          <cell r="BE76">
            <v>41494307</v>
          </cell>
          <cell r="BF76">
            <v>17479</v>
          </cell>
          <cell r="BG76">
            <v>32128</v>
          </cell>
          <cell r="BH76">
            <v>33</v>
          </cell>
          <cell r="BI76">
            <v>423631630</v>
          </cell>
          <cell r="BJ76">
            <v>468408970</v>
          </cell>
          <cell r="BL76">
            <v>867</v>
          </cell>
          <cell r="BM76">
            <v>1411</v>
          </cell>
          <cell r="BN76">
            <v>1494</v>
          </cell>
          <cell r="BO76">
            <v>400</v>
          </cell>
          <cell r="BP76">
            <v>247</v>
          </cell>
          <cell r="BQ76">
            <v>326</v>
          </cell>
        </row>
        <row r="77">
          <cell r="A77">
            <v>266</v>
          </cell>
          <cell r="B77" t="str">
            <v>266 - Maize</v>
          </cell>
          <cell r="C77" t="str">
            <v>Sedgwick</v>
          </cell>
          <cell r="D77">
            <v>660626874</v>
          </cell>
          <cell r="E77">
            <v>592477045</v>
          </cell>
          <cell r="F77">
            <v>722087496</v>
          </cell>
          <cell r="G77">
            <v>598961301</v>
          </cell>
          <cell r="H77">
            <v>7297.6</v>
          </cell>
          <cell r="I77">
            <v>7311.5</v>
          </cell>
          <cell r="J77">
            <v>42.5</v>
          </cell>
          <cell r="K77">
            <v>65234000</v>
          </cell>
          <cell r="L77">
            <v>7700.5</v>
          </cell>
          <cell r="M77">
            <v>7737.1</v>
          </cell>
          <cell r="N77">
            <v>7831.5</v>
          </cell>
          <cell r="O77">
            <v>7792.5</v>
          </cell>
          <cell r="P77">
            <v>9830382</v>
          </cell>
          <cell r="Q77">
            <v>11454785</v>
          </cell>
          <cell r="R77">
            <v>10470507</v>
          </cell>
          <cell r="S77">
            <v>5269645</v>
          </cell>
          <cell r="T77">
            <v>22893</v>
          </cell>
          <cell r="U77">
            <v>23418</v>
          </cell>
          <cell r="V77">
            <v>0</v>
          </cell>
          <cell r="W77">
            <v>0.39</v>
          </cell>
          <cell r="X77">
            <v>1866</v>
          </cell>
          <cell r="Y77">
            <v>443</v>
          </cell>
          <cell r="Z77">
            <v>0.38</v>
          </cell>
          <cell r="AA77">
            <v>0</v>
          </cell>
          <cell r="AB77">
            <v>0.47139999999999999</v>
          </cell>
          <cell r="AC77">
            <v>8872451</v>
          </cell>
          <cell r="AD77">
            <v>8992631</v>
          </cell>
          <cell r="AE77">
            <v>8992631</v>
          </cell>
          <cell r="AF77">
            <v>7194.5</v>
          </cell>
          <cell r="AG77">
            <v>7341.1</v>
          </cell>
          <cell r="AH77">
            <v>7359.5</v>
          </cell>
          <cell r="AI77">
            <v>7342.2</v>
          </cell>
          <cell r="AJ77">
            <v>1.8700000000000001E-2</v>
          </cell>
          <cell r="AM77">
            <v>142</v>
          </cell>
          <cell r="AN77">
            <v>0</v>
          </cell>
          <cell r="AO77">
            <v>7297.7</v>
          </cell>
          <cell r="AQ77">
            <v>0</v>
          </cell>
          <cell r="AT77">
            <v>0</v>
          </cell>
          <cell r="AU77">
            <v>0</v>
          </cell>
          <cell r="AV77">
            <v>51080594</v>
          </cell>
          <cell r="AW77">
            <v>1883326</v>
          </cell>
          <cell r="AX77">
            <v>2697756</v>
          </cell>
          <cell r="AY77">
            <v>9912104</v>
          </cell>
          <cell r="AZ77">
            <v>1</v>
          </cell>
          <cell r="BA77">
            <v>1</v>
          </cell>
          <cell r="BB77">
            <v>170730</v>
          </cell>
          <cell r="BC77">
            <v>171470</v>
          </cell>
          <cell r="BE77">
            <v>53779215</v>
          </cell>
          <cell r="BF77">
            <v>25060</v>
          </cell>
          <cell r="BG77">
            <v>23023</v>
          </cell>
          <cell r="BH77">
            <v>33</v>
          </cell>
          <cell r="BI77">
            <v>663666518</v>
          </cell>
          <cell r="BJ77">
            <v>726703516</v>
          </cell>
          <cell r="BL77">
            <v>910</v>
          </cell>
          <cell r="BM77">
            <v>1671</v>
          </cell>
          <cell r="BN77">
            <v>1806</v>
          </cell>
          <cell r="BO77">
            <v>485</v>
          </cell>
          <cell r="BP77">
            <v>370</v>
          </cell>
          <cell r="BQ77">
            <v>421</v>
          </cell>
        </row>
        <row r="78">
          <cell r="A78">
            <v>267</v>
          </cell>
          <cell r="B78" t="str">
            <v>267 - Renwick</v>
          </cell>
          <cell r="C78" t="str">
            <v>Sedgwick</v>
          </cell>
          <cell r="D78">
            <v>167919578</v>
          </cell>
          <cell r="E78">
            <v>151728678</v>
          </cell>
          <cell r="F78">
            <v>184171489</v>
          </cell>
          <cell r="G78">
            <v>155285667</v>
          </cell>
          <cell r="H78">
            <v>1826.5</v>
          </cell>
          <cell r="I78">
            <v>1857.7</v>
          </cell>
          <cell r="J78">
            <v>210</v>
          </cell>
          <cell r="K78">
            <v>14787699</v>
          </cell>
          <cell r="L78">
            <v>1883</v>
          </cell>
          <cell r="M78">
            <v>1870.8</v>
          </cell>
          <cell r="N78">
            <v>1909.2</v>
          </cell>
          <cell r="O78">
            <v>1907.1</v>
          </cell>
          <cell r="P78">
            <v>2389884</v>
          </cell>
          <cell r="Q78">
            <v>2543385</v>
          </cell>
          <cell r="R78">
            <v>2258050</v>
          </cell>
          <cell r="S78">
            <v>1668975</v>
          </cell>
          <cell r="T78">
            <v>9053</v>
          </cell>
          <cell r="U78">
            <v>18285</v>
          </cell>
          <cell r="V78">
            <v>0</v>
          </cell>
          <cell r="W78">
            <v>0.35</v>
          </cell>
          <cell r="X78">
            <v>212</v>
          </cell>
          <cell r="Y78">
            <v>104</v>
          </cell>
          <cell r="Z78">
            <v>0.34</v>
          </cell>
          <cell r="AA78">
            <v>0</v>
          </cell>
          <cell r="AB78">
            <v>0.43890000000000001</v>
          </cell>
          <cell r="AC78">
            <v>1400862</v>
          </cell>
          <cell r="AD78">
            <v>1389450</v>
          </cell>
          <cell r="AE78">
            <v>1389450</v>
          </cell>
          <cell r="AF78">
            <v>1871</v>
          </cell>
          <cell r="AG78">
            <v>1862.5</v>
          </cell>
          <cell r="AH78">
            <v>1904.2</v>
          </cell>
          <cell r="AI78">
            <v>1903.1</v>
          </cell>
          <cell r="AJ78">
            <v>0.01</v>
          </cell>
          <cell r="AM78">
            <v>6</v>
          </cell>
          <cell r="AN78">
            <v>0</v>
          </cell>
          <cell r="AO78">
            <v>1857.6</v>
          </cell>
          <cell r="AQ78">
            <v>0</v>
          </cell>
          <cell r="AT78">
            <v>0</v>
          </cell>
          <cell r="AU78">
            <v>0</v>
          </cell>
          <cell r="AV78">
            <v>11576786</v>
          </cell>
          <cell r="AW78">
            <v>537007</v>
          </cell>
          <cell r="AX78">
            <v>662189</v>
          </cell>
          <cell r="AY78">
            <v>2128226</v>
          </cell>
          <cell r="AZ78">
            <v>1</v>
          </cell>
          <cell r="BA78">
            <v>1</v>
          </cell>
          <cell r="BB78">
            <v>0</v>
          </cell>
          <cell r="BC78">
            <v>0</v>
          </cell>
          <cell r="BE78">
            <v>12243709</v>
          </cell>
          <cell r="BF78">
            <v>4134</v>
          </cell>
          <cell r="BG78">
            <v>3737</v>
          </cell>
          <cell r="BH78">
            <v>33</v>
          </cell>
          <cell r="BI78">
            <v>167919578</v>
          </cell>
          <cell r="BJ78">
            <v>184171489</v>
          </cell>
          <cell r="BL78">
            <v>285</v>
          </cell>
          <cell r="BM78">
            <v>225</v>
          </cell>
          <cell r="BN78">
            <v>241</v>
          </cell>
          <cell r="BO78">
            <v>71</v>
          </cell>
          <cell r="BP78">
            <v>103</v>
          </cell>
          <cell r="BQ78">
            <v>83</v>
          </cell>
        </row>
        <row r="79">
          <cell r="A79">
            <v>268</v>
          </cell>
          <cell r="B79" t="str">
            <v>268 - Cheney</v>
          </cell>
          <cell r="C79" t="str">
            <v>Sedgwick</v>
          </cell>
          <cell r="D79">
            <v>48247958</v>
          </cell>
          <cell r="E79">
            <v>41663445</v>
          </cell>
          <cell r="F79">
            <v>51453957</v>
          </cell>
          <cell r="G79">
            <v>39935877</v>
          </cell>
          <cell r="H79">
            <v>785.5</v>
          </cell>
          <cell r="I79">
            <v>746.5</v>
          </cell>
          <cell r="J79">
            <v>126</v>
          </cell>
          <cell r="K79">
            <v>7253846</v>
          </cell>
          <cell r="L79">
            <v>785.1</v>
          </cell>
          <cell r="M79">
            <v>795</v>
          </cell>
          <cell r="N79">
            <v>761</v>
          </cell>
          <cell r="O79">
            <v>773.6</v>
          </cell>
          <cell r="P79">
            <v>935085</v>
          </cell>
          <cell r="Q79">
            <v>915408</v>
          </cell>
          <cell r="R79">
            <v>1519439</v>
          </cell>
          <cell r="S79">
            <v>640416</v>
          </cell>
          <cell r="T79">
            <v>0</v>
          </cell>
          <cell r="U79">
            <v>0</v>
          </cell>
          <cell r="V79">
            <v>0.19</v>
          </cell>
          <cell r="W79">
            <v>0.66</v>
          </cell>
          <cell r="X79">
            <v>179</v>
          </cell>
          <cell r="Y79">
            <v>47</v>
          </cell>
          <cell r="Z79">
            <v>0.65</v>
          </cell>
          <cell r="AA79">
            <v>0.1</v>
          </cell>
          <cell r="AB79">
            <v>0.61299999999999999</v>
          </cell>
          <cell r="AC79">
            <v>753055</v>
          </cell>
          <cell r="AD79">
            <v>711982</v>
          </cell>
          <cell r="AE79">
            <v>711982</v>
          </cell>
          <cell r="AF79">
            <v>785.1</v>
          </cell>
          <cell r="AG79">
            <v>795</v>
          </cell>
          <cell r="AH79">
            <v>761</v>
          </cell>
          <cell r="AI79">
            <v>773.6</v>
          </cell>
          <cell r="AJ79">
            <v>0</v>
          </cell>
          <cell r="AM79">
            <v>4</v>
          </cell>
          <cell r="AN79">
            <v>0</v>
          </cell>
          <cell r="AO79">
            <v>762.1</v>
          </cell>
          <cell r="AQ79">
            <v>0</v>
          </cell>
          <cell r="AT79">
            <v>0</v>
          </cell>
          <cell r="AU79">
            <v>0</v>
          </cell>
          <cell r="AV79">
            <v>6176513</v>
          </cell>
          <cell r="AW79">
            <v>265352</v>
          </cell>
          <cell r="AX79">
            <v>286936</v>
          </cell>
          <cell r="AY79">
            <v>1535005</v>
          </cell>
          <cell r="AZ79">
            <v>1</v>
          </cell>
          <cell r="BA79">
            <v>1</v>
          </cell>
          <cell r="BB79">
            <v>0</v>
          </cell>
          <cell r="BC79">
            <v>0</v>
          </cell>
          <cell r="BE79">
            <v>6336492</v>
          </cell>
          <cell r="BF79">
            <v>5081</v>
          </cell>
          <cell r="BG79">
            <v>2780</v>
          </cell>
          <cell r="BH79">
            <v>33</v>
          </cell>
          <cell r="BI79">
            <v>48107066</v>
          </cell>
          <cell r="BJ79">
            <v>51277130</v>
          </cell>
          <cell r="BL79">
            <v>148</v>
          </cell>
          <cell r="BM79">
            <v>178</v>
          </cell>
          <cell r="BN79">
            <v>203</v>
          </cell>
          <cell r="BO79">
            <v>87</v>
          </cell>
          <cell r="BP79">
            <v>51</v>
          </cell>
          <cell r="BQ79">
            <v>49</v>
          </cell>
        </row>
        <row r="80">
          <cell r="A80">
            <v>269</v>
          </cell>
          <cell r="B80" t="str">
            <v>269 - Palco</v>
          </cell>
          <cell r="C80" t="str">
            <v>Rooks</v>
          </cell>
          <cell r="D80">
            <v>25364967</v>
          </cell>
          <cell r="E80">
            <v>23590571</v>
          </cell>
          <cell r="F80">
            <v>24005778</v>
          </cell>
          <cell r="G80">
            <v>21392953</v>
          </cell>
          <cell r="H80">
            <v>85</v>
          </cell>
          <cell r="I80">
            <v>71.5</v>
          </cell>
          <cell r="J80">
            <v>248.6</v>
          </cell>
          <cell r="K80">
            <v>1094423</v>
          </cell>
          <cell r="L80">
            <v>80.5</v>
          </cell>
          <cell r="M80">
            <v>89</v>
          </cell>
          <cell r="N80">
            <v>74</v>
          </cell>
          <cell r="O80">
            <v>66.5</v>
          </cell>
          <cell r="P80">
            <v>105849</v>
          </cell>
          <cell r="Q80">
            <v>103248</v>
          </cell>
          <cell r="R80">
            <v>0</v>
          </cell>
          <cell r="S80">
            <v>218610</v>
          </cell>
          <cell r="T80">
            <v>0</v>
          </cell>
          <cell r="U80">
            <v>0</v>
          </cell>
          <cell r="V80">
            <v>0</v>
          </cell>
          <cell r="W80">
            <v>0</v>
          </cell>
          <cell r="X80">
            <v>24</v>
          </cell>
          <cell r="Y80">
            <v>3</v>
          </cell>
          <cell r="Z80">
            <v>0</v>
          </cell>
          <cell r="AA80">
            <v>0</v>
          </cell>
          <cell r="AB80">
            <v>0</v>
          </cell>
          <cell r="AC80">
            <v>138090</v>
          </cell>
          <cell r="AD80">
            <v>109187</v>
          </cell>
          <cell r="AE80">
            <v>109187</v>
          </cell>
          <cell r="AF80">
            <v>80.5</v>
          </cell>
          <cell r="AG80">
            <v>89</v>
          </cell>
          <cell r="AH80">
            <v>74</v>
          </cell>
          <cell r="AI80">
            <v>66.5</v>
          </cell>
          <cell r="AJ80">
            <v>0</v>
          </cell>
          <cell r="AM80">
            <v>0</v>
          </cell>
          <cell r="AN80">
            <v>0</v>
          </cell>
          <cell r="AO80">
            <v>66</v>
          </cell>
          <cell r="AQ80">
            <v>0</v>
          </cell>
          <cell r="AT80">
            <v>0</v>
          </cell>
          <cell r="AU80">
            <v>0</v>
          </cell>
          <cell r="AV80">
            <v>1038786</v>
          </cell>
          <cell r="AW80">
            <v>0</v>
          </cell>
          <cell r="AX80">
            <v>0</v>
          </cell>
          <cell r="AY80">
            <v>0</v>
          </cell>
          <cell r="AZ80">
            <v>1</v>
          </cell>
          <cell r="BA80">
            <v>1</v>
          </cell>
          <cell r="BB80">
            <v>0</v>
          </cell>
          <cell r="BC80">
            <v>0</v>
          </cell>
          <cell r="BE80">
            <v>976620</v>
          </cell>
          <cell r="BF80">
            <v>124</v>
          </cell>
          <cell r="BG80">
            <v>698</v>
          </cell>
          <cell r="BH80">
            <v>33</v>
          </cell>
          <cell r="BI80">
            <v>25364967</v>
          </cell>
          <cell r="BJ80">
            <v>23566933</v>
          </cell>
          <cell r="BL80">
            <v>20</v>
          </cell>
          <cell r="BM80">
            <v>39</v>
          </cell>
          <cell r="BN80">
            <v>30</v>
          </cell>
          <cell r="BO80">
            <v>14</v>
          </cell>
          <cell r="BP80">
            <v>9</v>
          </cell>
          <cell r="BQ80">
            <v>7</v>
          </cell>
        </row>
        <row r="81">
          <cell r="A81">
            <v>270</v>
          </cell>
          <cell r="B81" t="str">
            <v>270 - Plainville</v>
          </cell>
          <cell r="C81" t="str">
            <v>Rooks</v>
          </cell>
          <cell r="D81">
            <v>47953332</v>
          </cell>
          <cell r="E81">
            <v>43091823</v>
          </cell>
          <cell r="F81">
            <v>46468038</v>
          </cell>
          <cell r="G81">
            <v>38881991</v>
          </cell>
          <cell r="H81">
            <v>380.5</v>
          </cell>
          <cell r="I81">
            <v>384.5</v>
          </cell>
          <cell r="J81">
            <v>275.8</v>
          </cell>
          <cell r="K81">
            <v>4327139</v>
          </cell>
          <cell r="L81">
            <v>338</v>
          </cell>
          <cell r="M81">
            <v>384.5</v>
          </cell>
          <cell r="N81">
            <v>393.5</v>
          </cell>
          <cell r="O81">
            <v>418.5</v>
          </cell>
          <cell r="P81">
            <v>479881</v>
          </cell>
          <cell r="Q81">
            <v>547005</v>
          </cell>
          <cell r="R81">
            <v>422848</v>
          </cell>
          <cell r="S81">
            <v>444500</v>
          </cell>
          <cell r="T81">
            <v>0</v>
          </cell>
          <cell r="U81">
            <v>0</v>
          </cell>
          <cell r="V81">
            <v>0</v>
          </cell>
          <cell r="W81">
            <v>0.22</v>
          </cell>
          <cell r="X81">
            <v>151</v>
          </cell>
          <cell r="Y81">
            <v>38</v>
          </cell>
          <cell r="Z81">
            <v>0.21</v>
          </cell>
          <cell r="AA81">
            <v>0</v>
          </cell>
          <cell r="AB81">
            <v>0.2944</v>
          </cell>
          <cell r="AC81">
            <v>405442</v>
          </cell>
          <cell r="AD81">
            <v>393881</v>
          </cell>
          <cell r="AE81">
            <v>393881</v>
          </cell>
          <cell r="AF81">
            <v>338</v>
          </cell>
          <cell r="AG81">
            <v>384.5</v>
          </cell>
          <cell r="AH81">
            <v>393.5</v>
          </cell>
          <cell r="AI81">
            <v>418.5</v>
          </cell>
          <cell r="AJ81">
            <v>0</v>
          </cell>
          <cell r="AM81">
            <v>0</v>
          </cell>
          <cell r="AN81">
            <v>0</v>
          </cell>
          <cell r="AO81">
            <v>406.5</v>
          </cell>
          <cell r="AQ81">
            <v>0</v>
          </cell>
          <cell r="AT81">
            <v>0</v>
          </cell>
          <cell r="AU81">
            <v>0</v>
          </cell>
          <cell r="AV81">
            <v>3354485</v>
          </cell>
          <cell r="AW81">
            <v>64610</v>
          </cell>
          <cell r="AX81">
            <v>40488</v>
          </cell>
          <cell r="AY81">
            <v>425935</v>
          </cell>
          <cell r="AZ81">
            <v>1</v>
          </cell>
          <cell r="BA81">
            <v>1</v>
          </cell>
          <cell r="BB81">
            <v>0</v>
          </cell>
          <cell r="BC81">
            <v>0</v>
          </cell>
          <cell r="BE81">
            <v>3758318</v>
          </cell>
          <cell r="BF81">
            <v>3389</v>
          </cell>
          <cell r="BG81">
            <v>3465</v>
          </cell>
          <cell r="BH81">
            <v>33</v>
          </cell>
          <cell r="BI81">
            <v>47507044</v>
          </cell>
          <cell r="BJ81">
            <v>46009357</v>
          </cell>
          <cell r="BL81">
            <v>78</v>
          </cell>
          <cell r="BM81">
            <v>128</v>
          </cell>
          <cell r="BN81">
            <v>150</v>
          </cell>
          <cell r="BO81">
            <v>63</v>
          </cell>
          <cell r="BP81">
            <v>48</v>
          </cell>
          <cell r="BQ81">
            <v>42</v>
          </cell>
        </row>
        <row r="82">
          <cell r="A82">
            <v>271</v>
          </cell>
          <cell r="B82" t="str">
            <v>271 - Stockton</v>
          </cell>
          <cell r="C82" t="str">
            <v>Rooks</v>
          </cell>
          <cell r="D82">
            <v>44789333</v>
          </cell>
          <cell r="E82">
            <v>40462001</v>
          </cell>
          <cell r="F82">
            <v>41684296</v>
          </cell>
          <cell r="G82">
            <v>35222482</v>
          </cell>
          <cell r="H82">
            <v>249.9</v>
          </cell>
          <cell r="I82">
            <v>266.3</v>
          </cell>
          <cell r="J82">
            <v>444.8</v>
          </cell>
          <cell r="K82">
            <v>3265522</v>
          </cell>
          <cell r="L82">
            <v>313.5</v>
          </cell>
          <cell r="M82">
            <v>259.89999999999998</v>
          </cell>
          <cell r="N82">
            <v>274.3</v>
          </cell>
          <cell r="O82">
            <v>263.3</v>
          </cell>
          <cell r="P82">
            <v>312027</v>
          </cell>
          <cell r="Q82">
            <v>377114</v>
          </cell>
          <cell r="R82">
            <v>6327</v>
          </cell>
          <cell r="S82">
            <v>372425</v>
          </cell>
          <cell r="T82">
            <v>0</v>
          </cell>
          <cell r="U82">
            <v>0</v>
          </cell>
          <cell r="V82">
            <v>0</v>
          </cell>
          <cell r="W82">
            <v>0</v>
          </cell>
          <cell r="X82">
            <v>142</v>
          </cell>
          <cell r="Y82">
            <v>21</v>
          </cell>
          <cell r="Z82">
            <v>0</v>
          </cell>
          <cell r="AA82">
            <v>0</v>
          </cell>
          <cell r="AB82">
            <v>0</v>
          </cell>
          <cell r="AC82">
            <v>324184</v>
          </cell>
          <cell r="AD82">
            <v>308413</v>
          </cell>
          <cell r="AE82">
            <v>308413</v>
          </cell>
          <cell r="AF82">
            <v>313.5</v>
          </cell>
          <cell r="AG82">
            <v>259.89999999999998</v>
          </cell>
          <cell r="AH82">
            <v>274.3</v>
          </cell>
          <cell r="AI82">
            <v>263.3</v>
          </cell>
          <cell r="AJ82">
            <v>0</v>
          </cell>
          <cell r="AM82">
            <v>0</v>
          </cell>
          <cell r="AN82">
            <v>0</v>
          </cell>
          <cell r="AO82">
            <v>254.3</v>
          </cell>
          <cell r="AQ82">
            <v>0</v>
          </cell>
          <cell r="AT82">
            <v>0</v>
          </cell>
          <cell r="AU82">
            <v>0</v>
          </cell>
          <cell r="AV82">
            <v>2890031</v>
          </cell>
          <cell r="AW82">
            <v>0</v>
          </cell>
          <cell r="AX82">
            <v>0</v>
          </cell>
          <cell r="AY82">
            <v>62497</v>
          </cell>
          <cell r="AZ82">
            <v>1</v>
          </cell>
          <cell r="BA82">
            <v>1</v>
          </cell>
          <cell r="BB82">
            <v>0</v>
          </cell>
          <cell r="BC82">
            <v>0</v>
          </cell>
          <cell r="BE82">
            <v>2875737</v>
          </cell>
          <cell r="BF82">
            <v>0</v>
          </cell>
          <cell r="BG82">
            <v>1149</v>
          </cell>
          <cell r="BH82">
            <v>33</v>
          </cell>
          <cell r="BI82">
            <v>44789333</v>
          </cell>
          <cell r="BJ82">
            <v>41305558</v>
          </cell>
          <cell r="BL82">
            <v>82</v>
          </cell>
          <cell r="BM82">
            <v>129</v>
          </cell>
          <cell r="BN82">
            <v>142</v>
          </cell>
          <cell r="BO82">
            <v>55</v>
          </cell>
          <cell r="BP82">
            <v>19</v>
          </cell>
          <cell r="BQ82">
            <v>32</v>
          </cell>
        </row>
        <row r="83">
          <cell r="A83">
            <v>272</v>
          </cell>
          <cell r="B83" t="str">
            <v>272 - Waconda</v>
          </cell>
          <cell r="C83" t="str">
            <v>Mitchell</v>
          </cell>
          <cell r="D83">
            <v>41475037</v>
          </cell>
          <cell r="E83">
            <v>35750056</v>
          </cell>
          <cell r="F83">
            <v>40757368</v>
          </cell>
          <cell r="G83">
            <v>31865170</v>
          </cell>
          <cell r="H83">
            <v>295.7</v>
          </cell>
          <cell r="I83">
            <v>293.7</v>
          </cell>
          <cell r="J83">
            <v>411.3</v>
          </cell>
          <cell r="K83">
            <v>3514058</v>
          </cell>
          <cell r="L83">
            <v>302.3</v>
          </cell>
          <cell r="M83">
            <v>308.2</v>
          </cell>
          <cell r="N83">
            <v>304.2</v>
          </cell>
          <cell r="O83">
            <v>313.2</v>
          </cell>
          <cell r="P83">
            <v>314812</v>
          </cell>
          <cell r="Q83">
            <v>371321</v>
          </cell>
          <cell r="R83">
            <v>193031</v>
          </cell>
          <cell r="S83">
            <v>373480</v>
          </cell>
          <cell r="T83">
            <v>0</v>
          </cell>
          <cell r="U83">
            <v>0</v>
          </cell>
          <cell r="V83">
            <v>0</v>
          </cell>
          <cell r="W83">
            <v>0.04</v>
          </cell>
          <cell r="X83">
            <v>133</v>
          </cell>
          <cell r="Y83">
            <v>30</v>
          </cell>
          <cell r="Z83">
            <v>0.03</v>
          </cell>
          <cell r="AA83">
            <v>0</v>
          </cell>
          <cell r="AB83">
            <v>0.18410000000000001</v>
          </cell>
          <cell r="AC83">
            <v>283749</v>
          </cell>
          <cell r="AD83">
            <v>268773</v>
          </cell>
          <cell r="AE83">
            <v>268773</v>
          </cell>
          <cell r="AF83">
            <v>302.3</v>
          </cell>
          <cell r="AG83">
            <v>308.2</v>
          </cell>
          <cell r="AH83">
            <v>304.2</v>
          </cell>
          <cell r="AI83">
            <v>313.2</v>
          </cell>
          <cell r="AJ83">
            <v>0</v>
          </cell>
          <cell r="AM83">
            <v>0</v>
          </cell>
          <cell r="AN83">
            <v>1</v>
          </cell>
          <cell r="AO83">
            <v>301.7</v>
          </cell>
          <cell r="AQ83">
            <v>0</v>
          </cell>
          <cell r="AT83">
            <v>0</v>
          </cell>
          <cell r="AU83">
            <v>0</v>
          </cell>
          <cell r="AV83">
            <v>2961351</v>
          </cell>
          <cell r="AW83">
            <v>0</v>
          </cell>
          <cell r="AX83">
            <v>0</v>
          </cell>
          <cell r="AY83">
            <v>152269</v>
          </cell>
          <cell r="AZ83">
            <v>1</v>
          </cell>
          <cell r="BA83">
            <v>1</v>
          </cell>
          <cell r="BB83">
            <v>0</v>
          </cell>
          <cell r="BC83">
            <v>0</v>
          </cell>
          <cell r="BE83">
            <v>3142519</v>
          </cell>
          <cell r="BF83">
            <v>3639</v>
          </cell>
          <cell r="BG83">
            <v>3117</v>
          </cell>
          <cell r="BH83">
            <v>33</v>
          </cell>
          <cell r="BI83">
            <v>41475037</v>
          </cell>
          <cell r="BJ83">
            <v>40038196</v>
          </cell>
          <cell r="BL83">
            <v>100</v>
          </cell>
          <cell r="BM83">
            <v>132</v>
          </cell>
          <cell r="BN83">
            <v>136</v>
          </cell>
          <cell r="BO83">
            <v>23</v>
          </cell>
          <cell r="BP83">
            <v>30</v>
          </cell>
          <cell r="BQ83">
            <v>25</v>
          </cell>
        </row>
        <row r="84">
          <cell r="A84">
            <v>273</v>
          </cell>
          <cell r="B84" t="str">
            <v>273 - Beloit</v>
          </cell>
          <cell r="C84" t="str">
            <v>Mitchell</v>
          </cell>
          <cell r="D84">
            <v>83957302</v>
          </cell>
          <cell r="E84">
            <v>74284989</v>
          </cell>
          <cell r="F84">
            <v>83253327</v>
          </cell>
          <cell r="G84">
            <v>67534559</v>
          </cell>
          <cell r="H84">
            <v>771.9</v>
          </cell>
          <cell r="I84">
            <v>798.7</v>
          </cell>
          <cell r="J84">
            <v>565</v>
          </cell>
          <cell r="K84">
            <v>7915340</v>
          </cell>
          <cell r="L84">
            <v>774.3</v>
          </cell>
          <cell r="M84">
            <v>801.9</v>
          </cell>
          <cell r="N84">
            <v>828.7</v>
          </cell>
          <cell r="O84">
            <v>809.1</v>
          </cell>
          <cell r="P84">
            <v>930232</v>
          </cell>
          <cell r="Q84">
            <v>951034</v>
          </cell>
          <cell r="R84">
            <v>967085</v>
          </cell>
          <cell r="S84">
            <v>824819</v>
          </cell>
          <cell r="T84">
            <v>0</v>
          </cell>
          <cell r="U84">
            <v>0</v>
          </cell>
          <cell r="V84">
            <v>0</v>
          </cell>
          <cell r="W84">
            <v>0.3</v>
          </cell>
          <cell r="X84">
            <v>306</v>
          </cell>
          <cell r="Y84">
            <v>78</v>
          </cell>
          <cell r="Z84">
            <v>0.28999999999999998</v>
          </cell>
          <cell r="AA84">
            <v>0</v>
          </cell>
          <cell r="AB84">
            <v>0.37590000000000001</v>
          </cell>
          <cell r="AC84">
            <v>1342099</v>
          </cell>
          <cell r="AD84">
            <v>1255464</v>
          </cell>
          <cell r="AE84">
            <v>1255464</v>
          </cell>
          <cell r="AF84">
            <v>774.3</v>
          </cell>
          <cell r="AG84">
            <v>801.9</v>
          </cell>
          <cell r="AH84">
            <v>828.7</v>
          </cell>
          <cell r="AI84">
            <v>809.1</v>
          </cell>
          <cell r="AJ84">
            <v>0</v>
          </cell>
          <cell r="AM84">
            <v>1</v>
          </cell>
          <cell r="AN84">
            <v>0</v>
          </cell>
          <cell r="AO84">
            <v>775.1</v>
          </cell>
          <cell r="AQ84">
            <v>0</v>
          </cell>
          <cell r="AT84">
            <v>0</v>
          </cell>
          <cell r="AU84">
            <v>0</v>
          </cell>
          <cell r="AV84">
            <v>6438718</v>
          </cell>
          <cell r="AW84">
            <v>194708</v>
          </cell>
          <cell r="AX84">
            <v>211560</v>
          </cell>
          <cell r="AY84">
            <v>823462</v>
          </cell>
          <cell r="AZ84">
            <v>1</v>
          </cell>
          <cell r="BA84">
            <v>1</v>
          </cell>
          <cell r="BB84">
            <v>139560</v>
          </cell>
          <cell r="BC84">
            <v>140170</v>
          </cell>
          <cell r="BE84">
            <v>6964306</v>
          </cell>
          <cell r="BF84">
            <v>6036</v>
          </cell>
          <cell r="BG84">
            <v>5902</v>
          </cell>
          <cell r="BH84">
            <v>33</v>
          </cell>
          <cell r="BI84">
            <v>83957302</v>
          </cell>
          <cell r="BJ84">
            <v>82671786</v>
          </cell>
          <cell r="BL84">
            <v>239</v>
          </cell>
          <cell r="BM84">
            <v>294</v>
          </cell>
          <cell r="BN84">
            <v>300</v>
          </cell>
          <cell r="BO84">
            <v>64</v>
          </cell>
          <cell r="BP84">
            <v>82</v>
          </cell>
          <cell r="BQ84">
            <v>95</v>
          </cell>
        </row>
        <row r="85">
          <cell r="A85">
            <v>274</v>
          </cell>
          <cell r="B85" t="str">
            <v>274 - Oakley</v>
          </cell>
          <cell r="C85" t="str">
            <v>Logan</v>
          </cell>
          <cell r="D85">
            <v>63650635</v>
          </cell>
          <cell r="E85">
            <v>58292558</v>
          </cell>
          <cell r="F85">
            <v>61380572</v>
          </cell>
          <cell r="G85">
            <v>52643511</v>
          </cell>
          <cell r="H85">
            <v>425.9</v>
          </cell>
          <cell r="I85">
            <v>399.3</v>
          </cell>
          <cell r="J85">
            <v>637</v>
          </cell>
          <cell r="K85">
            <v>4480412</v>
          </cell>
          <cell r="L85">
            <v>417.5</v>
          </cell>
          <cell r="M85">
            <v>425.9</v>
          </cell>
          <cell r="N85">
            <v>399.3</v>
          </cell>
          <cell r="O85">
            <v>432.6</v>
          </cell>
          <cell r="P85">
            <v>398364</v>
          </cell>
          <cell r="Q85">
            <v>436295</v>
          </cell>
          <cell r="R85">
            <v>48823</v>
          </cell>
          <cell r="S85">
            <v>508174</v>
          </cell>
          <cell r="T85">
            <v>0</v>
          </cell>
          <cell r="U85">
            <v>0</v>
          </cell>
          <cell r="V85">
            <v>0</v>
          </cell>
          <cell r="W85">
            <v>0</v>
          </cell>
          <cell r="X85">
            <v>173</v>
          </cell>
          <cell r="Y85">
            <v>52</v>
          </cell>
          <cell r="Z85">
            <v>0</v>
          </cell>
          <cell r="AA85">
            <v>0</v>
          </cell>
          <cell r="AB85">
            <v>5.9400000000000001E-2</v>
          </cell>
          <cell r="AC85">
            <v>412463</v>
          </cell>
          <cell r="AD85">
            <v>408993</v>
          </cell>
          <cell r="AE85">
            <v>408993</v>
          </cell>
          <cell r="AF85">
            <v>417.5</v>
          </cell>
          <cell r="AG85">
            <v>425.9</v>
          </cell>
          <cell r="AH85">
            <v>399.3</v>
          </cell>
          <cell r="AI85">
            <v>432.6</v>
          </cell>
          <cell r="AJ85">
            <v>0</v>
          </cell>
          <cell r="AM85">
            <v>0</v>
          </cell>
          <cell r="AN85">
            <v>0</v>
          </cell>
          <cell r="AO85">
            <v>423.1</v>
          </cell>
          <cell r="AQ85">
            <v>0</v>
          </cell>
          <cell r="AT85">
            <v>0</v>
          </cell>
          <cell r="AU85">
            <v>0</v>
          </cell>
          <cell r="AV85">
            <v>3621816</v>
          </cell>
          <cell r="AW85">
            <v>0</v>
          </cell>
          <cell r="AX85">
            <v>0</v>
          </cell>
          <cell r="AY85">
            <v>62297</v>
          </cell>
          <cell r="AZ85">
            <v>1</v>
          </cell>
          <cell r="BA85">
            <v>1</v>
          </cell>
          <cell r="BB85">
            <v>0</v>
          </cell>
          <cell r="BC85">
            <v>0</v>
          </cell>
          <cell r="BE85">
            <v>4024926</v>
          </cell>
          <cell r="BF85">
            <v>1330</v>
          </cell>
          <cell r="BG85">
            <v>827</v>
          </cell>
          <cell r="BH85">
            <v>33</v>
          </cell>
          <cell r="BI85">
            <v>63650635</v>
          </cell>
          <cell r="BJ85">
            <v>61336325</v>
          </cell>
          <cell r="BL85">
            <v>114</v>
          </cell>
          <cell r="BM85">
            <v>160</v>
          </cell>
          <cell r="BN85">
            <v>137</v>
          </cell>
          <cell r="BO85">
            <v>57</v>
          </cell>
          <cell r="BP85">
            <v>43</v>
          </cell>
          <cell r="BQ85">
            <v>68</v>
          </cell>
        </row>
        <row r="86">
          <cell r="A86">
            <v>275</v>
          </cell>
          <cell r="B86" t="str">
            <v>275 - Triplains</v>
          </cell>
          <cell r="C86" t="str">
            <v>Logan</v>
          </cell>
          <cell r="D86">
            <v>26681453</v>
          </cell>
          <cell r="E86">
            <v>25768040</v>
          </cell>
          <cell r="F86">
            <v>24361909</v>
          </cell>
          <cell r="G86">
            <v>22994943</v>
          </cell>
          <cell r="H86">
            <v>67.5</v>
          </cell>
          <cell r="I86">
            <v>72</v>
          </cell>
          <cell r="J86">
            <v>662</v>
          </cell>
          <cell r="K86">
            <v>1044408</v>
          </cell>
          <cell r="L86">
            <v>73.3</v>
          </cell>
          <cell r="M86">
            <v>67.5</v>
          </cell>
          <cell r="N86">
            <v>72</v>
          </cell>
          <cell r="O86">
            <v>71.5</v>
          </cell>
          <cell r="P86">
            <v>89619</v>
          </cell>
          <cell r="Q86">
            <v>96347</v>
          </cell>
          <cell r="R86">
            <v>0</v>
          </cell>
          <cell r="S86">
            <v>121926</v>
          </cell>
          <cell r="T86">
            <v>0</v>
          </cell>
          <cell r="U86">
            <v>0</v>
          </cell>
          <cell r="V86">
            <v>0</v>
          </cell>
          <cell r="W86">
            <v>0</v>
          </cell>
          <cell r="X86">
            <v>35</v>
          </cell>
          <cell r="Y86">
            <v>2</v>
          </cell>
          <cell r="Z86">
            <v>0</v>
          </cell>
          <cell r="AA86">
            <v>0</v>
          </cell>
          <cell r="AB86">
            <v>0</v>
          </cell>
          <cell r="AC86">
            <v>97318</v>
          </cell>
          <cell r="AD86">
            <v>101309</v>
          </cell>
          <cell r="AE86">
            <v>101309</v>
          </cell>
          <cell r="AF86">
            <v>73.3</v>
          </cell>
          <cell r="AG86">
            <v>67.5</v>
          </cell>
          <cell r="AH86">
            <v>72</v>
          </cell>
          <cell r="AI86">
            <v>71.5</v>
          </cell>
          <cell r="AJ86">
            <v>0</v>
          </cell>
          <cell r="AM86">
            <v>0</v>
          </cell>
          <cell r="AN86">
            <v>0</v>
          </cell>
          <cell r="AO86">
            <v>71.5</v>
          </cell>
          <cell r="AQ86">
            <v>0</v>
          </cell>
          <cell r="AT86">
            <v>0</v>
          </cell>
          <cell r="AU86">
            <v>0</v>
          </cell>
          <cell r="AV86">
            <v>884421</v>
          </cell>
          <cell r="AW86">
            <v>0</v>
          </cell>
          <cell r="AX86">
            <v>0</v>
          </cell>
          <cell r="AY86">
            <v>0</v>
          </cell>
          <cell r="AZ86">
            <v>1</v>
          </cell>
          <cell r="BA86">
            <v>1</v>
          </cell>
          <cell r="BB86">
            <v>0</v>
          </cell>
          <cell r="BC86">
            <v>0</v>
          </cell>
          <cell r="BE86">
            <v>941272</v>
          </cell>
          <cell r="BF86">
            <v>96</v>
          </cell>
          <cell r="BG86">
            <v>178</v>
          </cell>
          <cell r="BH86">
            <v>33</v>
          </cell>
          <cell r="BI86">
            <v>26681453</v>
          </cell>
          <cell r="BJ86">
            <v>24337427</v>
          </cell>
          <cell r="BL86">
            <v>11</v>
          </cell>
          <cell r="BM86">
            <v>25</v>
          </cell>
          <cell r="BN86">
            <v>32</v>
          </cell>
          <cell r="BO86">
            <v>14</v>
          </cell>
          <cell r="BP86">
            <v>4</v>
          </cell>
          <cell r="BQ86">
            <v>1</v>
          </cell>
        </row>
        <row r="87">
          <cell r="A87">
            <v>281</v>
          </cell>
          <cell r="B87" t="str">
            <v>281 - Graham County</v>
          </cell>
          <cell r="C87" t="str">
            <v>Graham</v>
          </cell>
          <cell r="D87">
            <v>52858105</v>
          </cell>
          <cell r="E87">
            <v>47694986</v>
          </cell>
          <cell r="F87">
            <v>51588813</v>
          </cell>
          <cell r="G87">
            <v>44134096</v>
          </cell>
          <cell r="H87">
            <v>384</v>
          </cell>
          <cell r="I87">
            <v>363</v>
          </cell>
          <cell r="J87">
            <v>728.3</v>
          </cell>
          <cell r="K87">
            <v>4224957</v>
          </cell>
          <cell r="L87">
            <v>379</v>
          </cell>
          <cell r="M87">
            <v>396.5</v>
          </cell>
          <cell r="N87">
            <v>368</v>
          </cell>
          <cell r="O87">
            <v>364.5</v>
          </cell>
          <cell r="P87">
            <v>451114</v>
          </cell>
          <cell r="Q87">
            <v>439731</v>
          </cell>
          <cell r="R87">
            <v>174341</v>
          </cell>
          <cell r="S87">
            <v>452779</v>
          </cell>
          <cell r="T87">
            <v>0</v>
          </cell>
          <cell r="U87">
            <v>0</v>
          </cell>
          <cell r="V87">
            <v>0</v>
          </cell>
          <cell r="W87">
            <v>0</v>
          </cell>
          <cell r="X87">
            <v>181</v>
          </cell>
          <cell r="Y87">
            <v>34</v>
          </cell>
          <cell r="Z87">
            <v>0</v>
          </cell>
          <cell r="AA87">
            <v>0</v>
          </cell>
          <cell r="AB87">
            <v>0.13289999999999999</v>
          </cell>
          <cell r="AC87">
            <v>390953</v>
          </cell>
          <cell r="AD87">
            <v>393962</v>
          </cell>
          <cell r="AE87">
            <v>393962</v>
          </cell>
          <cell r="AF87">
            <v>379</v>
          </cell>
          <cell r="AG87">
            <v>396.5</v>
          </cell>
          <cell r="AH87">
            <v>368</v>
          </cell>
          <cell r="AI87">
            <v>364.5</v>
          </cell>
          <cell r="AJ87">
            <v>0</v>
          </cell>
          <cell r="AM87">
            <v>0</v>
          </cell>
          <cell r="AN87">
            <v>0</v>
          </cell>
          <cell r="AO87">
            <v>355.5</v>
          </cell>
          <cell r="AQ87">
            <v>0</v>
          </cell>
          <cell r="AT87">
            <v>0</v>
          </cell>
          <cell r="AU87">
            <v>0</v>
          </cell>
          <cell r="AV87">
            <v>3504297</v>
          </cell>
          <cell r="AW87">
            <v>0</v>
          </cell>
          <cell r="AX87">
            <v>0</v>
          </cell>
          <cell r="AY87">
            <v>149859</v>
          </cell>
          <cell r="AZ87">
            <v>1</v>
          </cell>
          <cell r="BA87">
            <v>1</v>
          </cell>
          <cell r="BB87">
            <v>0</v>
          </cell>
          <cell r="BC87">
            <v>0</v>
          </cell>
          <cell r="BE87">
            <v>3785226</v>
          </cell>
          <cell r="BF87">
            <v>1048</v>
          </cell>
          <cell r="BG87">
            <v>4302</v>
          </cell>
          <cell r="BH87">
            <v>33</v>
          </cell>
          <cell r="BI87">
            <v>52773138</v>
          </cell>
          <cell r="BJ87">
            <v>51536411</v>
          </cell>
          <cell r="BL87">
            <v>130</v>
          </cell>
          <cell r="BM87">
            <v>181</v>
          </cell>
          <cell r="BN87">
            <v>146</v>
          </cell>
          <cell r="BO87">
            <v>53</v>
          </cell>
          <cell r="BP87">
            <v>38</v>
          </cell>
          <cell r="BQ87">
            <v>45</v>
          </cell>
        </row>
        <row r="88">
          <cell r="A88">
            <v>282</v>
          </cell>
          <cell r="B88" t="str">
            <v>282 - West Elk</v>
          </cell>
          <cell r="C88" t="str">
            <v>Elk</v>
          </cell>
          <cell r="D88">
            <v>29178845</v>
          </cell>
          <cell r="E88">
            <v>24024289</v>
          </cell>
          <cell r="F88">
            <v>29905256</v>
          </cell>
          <cell r="G88">
            <v>22858806</v>
          </cell>
          <cell r="H88">
            <v>354.1</v>
          </cell>
          <cell r="I88">
            <v>360.5</v>
          </cell>
          <cell r="J88">
            <v>541</v>
          </cell>
          <cell r="K88">
            <v>5877164</v>
          </cell>
          <cell r="L88">
            <v>573</v>
          </cell>
          <cell r="M88">
            <v>517.79999999999995</v>
          </cell>
          <cell r="N88">
            <v>533.1</v>
          </cell>
          <cell r="O88">
            <v>565.29999999999995</v>
          </cell>
          <cell r="P88">
            <v>733408</v>
          </cell>
          <cell r="Q88">
            <v>870626</v>
          </cell>
          <cell r="R88">
            <v>1033781</v>
          </cell>
          <cell r="S88">
            <v>544334</v>
          </cell>
          <cell r="T88">
            <v>6393</v>
          </cell>
          <cell r="U88">
            <v>9695</v>
          </cell>
          <cell r="V88">
            <v>0.01</v>
          </cell>
          <cell r="W88">
            <v>0.79</v>
          </cell>
          <cell r="X88">
            <v>197</v>
          </cell>
          <cell r="Y88">
            <v>47</v>
          </cell>
          <cell r="Z88">
            <v>0.78</v>
          </cell>
          <cell r="AA88">
            <v>0.23</v>
          </cell>
          <cell r="AB88">
            <v>0.66779999999999995</v>
          </cell>
          <cell r="AC88">
            <v>757063</v>
          </cell>
          <cell r="AD88">
            <v>708333</v>
          </cell>
          <cell r="AE88">
            <v>708333</v>
          </cell>
          <cell r="AF88">
            <v>374.5</v>
          </cell>
          <cell r="AG88">
            <v>357.1</v>
          </cell>
          <cell r="AH88">
            <v>362.5</v>
          </cell>
          <cell r="AI88">
            <v>357</v>
          </cell>
          <cell r="AJ88">
            <v>0</v>
          </cell>
          <cell r="AM88">
            <v>5</v>
          </cell>
          <cell r="AN88">
            <v>0</v>
          </cell>
          <cell r="AO88">
            <v>352</v>
          </cell>
          <cell r="AQ88">
            <v>0</v>
          </cell>
          <cell r="AT88">
            <v>0</v>
          </cell>
          <cell r="AU88">
            <v>0</v>
          </cell>
          <cell r="AV88">
            <v>4534292</v>
          </cell>
          <cell r="AW88">
            <v>85202</v>
          </cell>
          <cell r="AX88">
            <v>93304</v>
          </cell>
          <cell r="AY88">
            <v>878640</v>
          </cell>
          <cell r="AZ88">
            <v>1</v>
          </cell>
          <cell r="BA88">
            <v>1</v>
          </cell>
          <cell r="BB88">
            <v>0</v>
          </cell>
          <cell r="BC88">
            <v>0</v>
          </cell>
          <cell r="BE88">
            <v>5006145</v>
          </cell>
          <cell r="BF88">
            <v>0</v>
          </cell>
          <cell r="BG88">
            <v>0</v>
          </cell>
          <cell r="BH88">
            <v>33</v>
          </cell>
          <cell r="BI88">
            <v>29178845</v>
          </cell>
          <cell r="BJ88">
            <v>29905256</v>
          </cell>
          <cell r="BL88">
            <v>176</v>
          </cell>
          <cell r="BM88">
            <v>171</v>
          </cell>
          <cell r="BN88">
            <v>178</v>
          </cell>
          <cell r="BO88">
            <v>60</v>
          </cell>
          <cell r="BP88">
            <v>68</v>
          </cell>
          <cell r="BQ88">
            <v>57</v>
          </cell>
        </row>
        <row r="89">
          <cell r="A89">
            <v>283</v>
          </cell>
          <cell r="B89" t="str">
            <v>283 - Elk Valley</v>
          </cell>
          <cell r="C89" t="str">
            <v>Elk</v>
          </cell>
          <cell r="D89">
            <v>19993025</v>
          </cell>
          <cell r="E89">
            <v>18582016</v>
          </cell>
          <cell r="F89">
            <v>16127471</v>
          </cell>
          <cell r="G89">
            <v>14116612</v>
          </cell>
          <cell r="H89">
            <v>98</v>
          </cell>
          <cell r="I89">
            <v>114</v>
          </cell>
          <cell r="J89">
            <v>160</v>
          </cell>
          <cell r="K89">
            <v>10372096</v>
          </cell>
          <cell r="L89">
            <v>94.1</v>
          </cell>
          <cell r="M89">
            <v>100.5</v>
          </cell>
          <cell r="N89">
            <v>116</v>
          </cell>
          <cell r="O89">
            <v>1621.4</v>
          </cell>
          <cell r="P89">
            <v>367957</v>
          </cell>
          <cell r="Q89">
            <v>419440</v>
          </cell>
          <cell r="R89">
            <v>0</v>
          </cell>
          <cell r="S89">
            <v>299912</v>
          </cell>
          <cell r="T89">
            <v>0</v>
          </cell>
          <cell r="U89">
            <v>0</v>
          </cell>
          <cell r="V89">
            <v>0</v>
          </cell>
          <cell r="W89">
            <v>1</v>
          </cell>
          <cell r="X89">
            <v>72</v>
          </cell>
          <cell r="Y89">
            <v>5</v>
          </cell>
          <cell r="Z89">
            <v>1</v>
          </cell>
          <cell r="AA89">
            <v>0.66</v>
          </cell>
          <cell r="AB89">
            <v>0.2205</v>
          </cell>
          <cell r="AC89">
            <v>130453</v>
          </cell>
          <cell r="AD89">
            <v>132874</v>
          </cell>
          <cell r="AE89">
            <v>132874</v>
          </cell>
          <cell r="AF89">
            <v>94.1</v>
          </cell>
          <cell r="AG89">
            <v>100.5</v>
          </cell>
          <cell r="AH89">
            <v>116</v>
          </cell>
          <cell r="AI89">
            <v>113.5</v>
          </cell>
          <cell r="AJ89">
            <v>0</v>
          </cell>
          <cell r="AM89">
            <v>24</v>
          </cell>
          <cell r="AN89">
            <v>0</v>
          </cell>
          <cell r="AO89">
            <v>108.5</v>
          </cell>
          <cell r="AQ89">
            <v>0</v>
          </cell>
          <cell r="AT89">
            <v>0</v>
          </cell>
          <cell r="AU89">
            <v>0</v>
          </cell>
          <cell r="AV89">
            <v>1345460</v>
          </cell>
          <cell r="AW89">
            <v>0</v>
          </cell>
          <cell r="AX89">
            <v>0</v>
          </cell>
          <cell r="AY89">
            <v>15546</v>
          </cell>
          <cell r="AZ89">
            <v>1</v>
          </cell>
          <cell r="BA89">
            <v>1</v>
          </cell>
          <cell r="BB89">
            <v>0</v>
          </cell>
          <cell r="BC89">
            <v>0</v>
          </cell>
          <cell r="BE89">
            <v>9952366</v>
          </cell>
          <cell r="BF89">
            <v>2582</v>
          </cell>
          <cell r="BG89">
            <v>1015</v>
          </cell>
          <cell r="BH89">
            <v>33</v>
          </cell>
          <cell r="BI89">
            <v>19993025</v>
          </cell>
          <cell r="BJ89">
            <v>16127471</v>
          </cell>
          <cell r="BL89">
            <v>61</v>
          </cell>
          <cell r="BM89">
            <v>78</v>
          </cell>
          <cell r="BN89">
            <v>93</v>
          </cell>
          <cell r="BO89">
            <v>15</v>
          </cell>
          <cell r="BP89">
            <v>10</v>
          </cell>
          <cell r="BQ89">
            <v>8</v>
          </cell>
        </row>
        <row r="90">
          <cell r="A90">
            <v>284</v>
          </cell>
          <cell r="B90" t="str">
            <v>284 - Chase County</v>
          </cell>
          <cell r="C90" t="str">
            <v>Chase</v>
          </cell>
          <cell r="D90">
            <v>65643612</v>
          </cell>
          <cell r="E90">
            <v>59669328</v>
          </cell>
          <cell r="F90">
            <v>69099222</v>
          </cell>
          <cell r="G90">
            <v>59593850</v>
          </cell>
          <cell r="H90">
            <v>360</v>
          </cell>
          <cell r="I90">
            <v>355.9</v>
          </cell>
          <cell r="J90">
            <v>780</v>
          </cell>
          <cell r="K90">
            <v>4028988</v>
          </cell>
          <cell r="L90">
            <v>354</v>
          </cell>
          <cell r="M90">
            <v>368</v>
          </cell>
          <cell r="N90">
            <v>368.7</v>
          </cell>
          <cell r="O90">
            <v>386</v>
          </cell>
          <cell r="P90">
            <v>478522</v>
          </cell>
          <cell r="Q90">
            <v>383695</v>
          </cell>
          <cell r="R90">
            <v>0</v>
          </cell>
          <cell r="S90">
            <v>443057</v>
          </cell>
          <cell r="T90">
            <v>0</v>
          </cell>
          <cell r="U90">
            <v>0</v>
          </cell>
          <cell r="V90">
            <v>0</v>
          </cell>
          <cell r="W90">
            <v>0</v>
          </cell>
          <cell r="X90">
            <v>120</v>
          </cell>
          <cell r="Y90">
            <v>44</v>
          </cell>
          <cell r="Z90">
            <v>0</v>
          </cell>
          <cell r="AA90">
            <v>0</v>
          </cell>
          <cell r="AB90">
            <v>0</v>
          </cell>
          <cell r="AC90">
            <v>416921</v>
          </cell>
          <cell r="AD90">
            <v>389273</v>
          </cell>
          <cell r="AE90">
            <v>389273</v>
          </cell>
          <cell r="AF90">
            <v>351.2</v>
          </cell>
          <cell r="AG90">
            <v>365</v>
          </cell>
          <cell r="AH90">
            <v>360.4</v>
          </cell>
          <cell r="AI90">
            <v>382.1</v>
          </cell>
          <cell r="AJ90">
            <v>0</v>
          </cell>
          <cell r="AM90">
            <v>0</v>
          </cell>
          <cell r="AN90">
            <v>0</v>
          </cell>
          <cell r="AO90">
            <v>378.6</v>
          </cell>
          <cell r="AQ90">
            <v>0</v>
          </cell>
          <cell r="AT90">
            <v>0</v>
          </cell>
          <cell r="AU90">
            <v>0</v>
          </cell>
          <cell r="AV90">
            <v>3300447</v>
          </cell>
          <cell r="AW90">
            <v>0</v>
          </cell>
          <cell r="AX90">
            <v>0</v>
          </cell>
          <cell r="AY90">
            <v>0</v>
          </cell>
          <cell r="AZ90">
            <v>1</v>
          </cell>
          <cell r="BA90">
            <v>1</v>
          </cell>
          <cell r="BB90">
            <v>0</v>
          </cell>
          <cell r="BC90">
            <v>0</v>
          </cell>
          <cell r="BE90">
            <v>3645293</v>
          </cell>
          <cell r="BF90">
            <v>885</v>
          </cell>
          <cell r="BG90">
            <v>1021</v>
          </cell>
          <cell r="BH90">
            <v>33</v>
          </cell>
          <cell r="BI90">
            <v>65183570</v>
          </cell>
          <cell r="BJ90">
            <v>68698879</v>
          </cell>
          <cell r="BL90">
            <v>96</v>
          </cell>
          <cell r="BM90">
            <v>118</v>
          </cell>
          <cell r="BN90">
            <v>122</v>
          </cell>
          <cell r="BO90">
            <v>24</v>
          </cell>
          <cell r="BP90">
            <v>25</v>
          </cell>
          <cell r="BQ90">
            <v>28</v>
          </cell>
        </row>
        <row r="91">
          <cell r="A91">
            <v>285</v>
          </cell>
          <cell r="B91" t="str">
            <v>285 - Cedar Vale</v>
          </cell>
          <cell r="C91" t="str">
            <v>Chautauqua</v>
          </cell>
          <cell r="D91">
            <v>11423689</v>
          </cell>
          <cell r="E91">
            <v>9982019</v>
          </cell>
          <cell r="F91">
            <v>11766150</v>
          </cell>
          <cell r="G91">
            <v>9825665</v>
          </cell>
          <cell r="H91">
            <v>134.5</v>
          </cell>
          <cell r="I91">
            <v>123.5</v>
          </cell>
          <cell r="J91">
            <v>259</v>
          </cell>
          <cell r="K91">
            <v>1685391</v>
          </cell>
          <cell r="L91">
            <v>127.7</v>
          </cell>
          <cell r="M91">
            <v>135.5</v>
          </cell>
          <cell r="N91">
            <v>124.5</v>
          </cell>
          <cell r="O91">
            <v>119</v>
          </cell>
          <cell r="P91">
            <v>167636</v>
          </cell>
          <cell r="Q91">
            <v>172483</v>
          </cell>
          <cell r="R91">
            <v>234364</v>
          </cell>
          <cell r="S91">
            <v>122186</v>
          </cell>
          <cell r="T91">
            <v>6711</v>
          </cell>
          <cell r="U91">
            <v>7368</v>
          </cell>
          <cell r="V91">
            <v>0</v>
          </cell>
          <cell r="W91">
            <v>0.33</v>
          </cell>
          <cell r="X91">
            <v>43</v>
          </cell>
          <cell r="Y91">
            <v>15</v>
          </cell>
          <cell r="Z91">
            <v>0.32</v>
          </cell>
          <cell r="AA91">
            <v>0</v>
          </cell>
          <cell r="AB91">
            <v>0.43309999999999998</v>
          </cell>
          <cell r="AC91">
            <v>204051</v>
          </cell>
          <cell r="AD91">
            <v>190390</v>
          </cell>
          <cell r="AE91">
            <v>190390</v>
          </cell>
          <cell r="AF91">
            <v>126.7</v>
          </cell>
          <cell r="AG91">
            <v>135.5</v>
          </cell>
          <cell r="AH91">
            <v>124.5</v>
          </cell>
          <cell r="AI91">
            <v>119</v>
          </cell>
          <cell r="AJ91">
            <v>0</v>
          </cell>
          <cell r="AM91">
            <v>0</v>
          </cell>
          <cell r="AN91">
            <v>0</v>
          </cell>
          <cell r="AO91">
            <v>119</v>
          </cell>
          <cell r="AQ91">
            <v>0</v>
          </cell>
          <cell r="AT91">
            <v>0</v>
          </cell>
          <cell r="AU91">
            <v>0</v>
          </cell>
          <cell r="AV91">
            <v>1562293</v>
          </cell>
          <cell r="AW91">
            <v>10038</v>
          </cell>
          <cell r="AX91">
            <v>19301</v>
          </cell>
          <cell r="AY91">
            <v>223440</v>
          </cell>
          <cell r="AZ91">
            <v>1</v>
          </cell>
          <cell r="BA91">
            <v>1</v>
          </cell>
          <cell r="BB91">
            <v>0</v>
          </cell>
          <cell r="BC91">
            <v>0</v>
          </cell>
          <cell r="BE91">
            <v>1512698</v>
          </cell>
          <cell r="BF91">
            <v>531</v>
          </cell>
          <cell r="BG91">
            <v>278</v>
          </cell>
          <cell r="BH91">
            <v>32.5</v>
          </cell>
          <cell r="BI91">
            <v>11423689</v>
          </cell>
          <cell r="BJ91">
            <v>11766150</v>
          </cell>
          <cell r="BL91">
            <v>50</v>
          </cell>
          <cell r="BM91">
            <v>65</v>
          </cell>
          <cell r="BN91">
            <v>66</v>
          </cell>
          <cell r="BO91">
            <v>23</v>
          </cell>
          <cell r="BP91">
            <v>10</v>
          </cell>
          <cell r="BQ91">
            <v>13</v>
          </cell>
        </row>
        <row r="92">
          <cell r="A92">
            <v>286</v>
          </cell>
          <cell r="B92" t="str">
            <v>286 - Chautauqua Co Community</v>
          </cell>
          <cell r="C92" t="str">
            <v>Chautauqua</v>
          </cell>
          <cell r="D92">
            <v>23649886</v>
          </cell>
          <cell r="E92">
            <v>19124417</v>
          </cell>
          <cell r="F92">
            <v>24775982</v>
          </cell>
          <cell r="G92">
            <v>18445167</v>
          </cell>
          <cell r="H92">
            <v>361.6</v>
          </cell>
          <cell r="I92">
            <v>340.1</v>
          </cell>
          <cell r="J92">
            <v>382.5</v>
          </cell>
          <cell r="K92">
            <v>4290031</v>
          </cell>
          <cell r="L92">
            <v>372.8</v>
          </cell>
          <cell r="M92">
            <v>367.6</v>
          </cell>
          <cell r="N92">
            <v>346.6</v>
          </cell>
          <cell r="O92">
            <v>337.3</v>
          </cell>
          <cell r="P92">
            <v>692291</v>
          </cell>
          <cell r="Q92">
            <v>754753</v>
          </cell>
          <cell r="R92">
            <v>832791</v>
          </cell>
          <cell r="S92">
            <v>503240</v>
          </cell>
          <cell r="T92">
            <v>0</v>
          </cell>
          <cell r="U92">
            <v>0</v>
          </cell>
          <cell r="V92">
            <v>0.12</v>
          </cell>
          <cell r="W92">
            <v>0.59</v>
          </cell>
          <cell r="X92">
            <v>182</v>
          </cell>
          <cell r="Y92">
            <v>32</v>
          </cell>
          <cell r="Z92">
            <v>0.57999999999999996</v>
          </cell>
          <cell r="AA92">
            <v>0.03</v>
          </cell>
          <cell r="AB92">
            <v>0.57769999999999999</v>
          </cell>
          <cell r="AC92">
            <v>382799</v>
          </cell>
          <cell r="AD92">
            <v>360299</v>
          </cell>
          <cell r="AE92">
            <v>360299</v>
          </cell>
          <cell r="AF92">
            <v>372.8</v>
          </cell>
          <cell r="AG92">
            <v>367.6</v>
          </cell>
          <cell r="AH92">
            <v>346.6</v>
          </cell>
          <cell r="AI92">
            <v>337.3</v>
          </cell>
          <cell r="AJ92">
            <v>0</v>
          </cell>
          <cell r="AM92">
            <v>2</v>
          </cell>
          <cell r="AN92">
            <v>0</v>
          </cell>
          <cell r="AO92">
            <v>333</v>
          </cell>
          <cell r="AQ92">
            <v>0</v>
          </cell>
          <cell r="AT92">
            <v>0</v>
          </cell>
          <cell r="AU92">
            <v>0</v>
          </cell>
          <cell r="AV92">
            <v>3630621</v>
          </cell>
          <cell r="AW92">
            <v>81944</v>
          </cell>
          <cell r="AX92">
            <v>43434</v>
          </cell>
          <cell r="AY92">
            <v>796092</v>
          </cell>
          <cell r="AZ92">
            <v>1</v>
          </cell>
          <cell r="BA92">
            <v>1</v>
          </cell>
          <cell r="BB92">
            <v>0</v>
          </cell>
          <cell r="BC92">
            <v>0</v>
          </cell>
          <cell r="BE92">
            <v>3535278</v>
          </cell>
          <cell r="BF92">
            <v>0</v>
          </cell>
          <cell r="BG92">
            <v>0</v>
          </cell>
          <cell r="BH92">
            <v>33</v>
          </cell>
          <cell r="BI92">
            <v>23649886</v>
          </cell>
          <cell r="BJ92">
            <v>24775982</v>
          </cell>
          <cell r="BL92">
            <v>205</v>
          </cell>
          <cell r="BM92">
            <v>232</v>
          </cell>
          <cell r="BN92">
            <v>221</v>
          </cell>
          <cell r="BO92">
            <v>44</v>
          </cell>
          <cell r="BP92">
            <v>38</v>
          </cell>
          <cell r="BQ92">
            <v>29</v>
          </cell>
        </row>
        <row r="93">
          <cell r="A93">
            <v>287</v>
          </cell>
          <cell r="B93" t="str">
            <v>287 - West Franklin</v>
          </cell>
          <cell r="C93" t="str">
            <v>Franklin</v>
          </cell>
          <cell r="D93">
            <v>66832485</v>
          </cell>
          <cell r="E93">
            <v>56911110</v>
          </cell>
          <cell r="F93">
            <v>73381034</v>
          </cell>
          <cell r="G93">
            <v>56209401</v>
          </cell>
          <cell r="H93">
            <v>589.5</v>
          </cell>
          <cell r="I93">
            <v>586.5</v>
          </cell>
          <cell r="J93">
            <v>227</v>
          </cell>
          <cell r="K93">
            <v>6939447</v>
          </cell>
          <cell r="L93">
            <v>621.5</v>
          </cell>
          <cell r="M93">
            <v>594.79999999999995</v>
          </cell>
          <cell r="N93">
            <v>590</v>
          </cell>
          <cell r="O93">
            <v>623</v>
          </cell>
          <cell r="P93">
            <v>848073</v>
          </cell>
          <cell r="Q93">
            <v>948582</v>
          </cell>
          <cell r="R93">
            <v>769068</v>
          </cell>
          <cell r="S93">
            <v>928124</v>
          </cell>
          <cell r="T93">
            <v>964</v>
          </cell>
          <cell r="U93">
            <v>6438</v>
          </cell>
          <cell r="V93">
            <v>0</v>
          </cell>
          <cell r="W93">
            <v>0.14000000000000001</v>
          </cell>
          <cell r="X93">
            <v>278</v>
          </cell>
          <cell r="Y93">
            <v>53</v>
          </cell>
          <cell r="Z93">
            <v>0.13</v>
          </cell>
          <cell r="AA93">
            <v>0</v>
          </cell>
          <cell r="AB93">
            <v>0.3024</v>
          </cell>
          <cell r="AC93">
            <v>635914</v>
          </cell>
          <cell r="AD93">
            <v>610449</v>
          </cell>
          <cell r="AE93">
            <v>610449</v>
          </cell>
          <cell r="AF93">
            <v>620.5</v>
          </cell>
          <cell r="AG93">
            <v>593</v>
          </cell>
          <cell r="AH93">
            <v>589.5</v>
          </cell>
          <cell r="AI93">
            <v>623</v>
          </cell>
          <cell r="AJ93">
            <v>0</v>
          </cell>
          <cell r="AM93">
            <v>9</v>
          </cell>
          <cell r="AN93">
            <v>1</v>
          </cell>
          <cell r="AO93">
            <v>620</v>
          </cell>
          <cell r="AQ93">
            <v>0</v>
          </cell>
          <cell r="AT93">
            <v>0</v>
          </cell>
          <cell r="AU93">
            <v>0</v>
          </cell>
          <cell r="AV93">
            <v>5518432</v>
          </cell>
          <cell r="AW93">
            <v>112054</v>
          </cell>
          <cell r="AX93">
            <v>111316</v>
          </cell>
          <cell r="AY93">
            <v>753161</v>
          </cell>
          <cell r="AZ93">
            <v>1</v>
          </cell>
          <cell r="BA93">
            <v>1</v>
          </cell>
          <cell r="BB93">
            <v>0</v>
          </cell>
          <cell r="BC93">
            <v>0</v>
          </cell>
          <cell r="BE93">
            <v>5990865</v>
          </cell>
          <cell r="BF93">
            <v>2312</v>
          </cell>
          <cell r="BG93">
            <v>3399</v>
          </cell>
          <cell r="BH93">
            <v>33</v>
          </cell>
          <cell r="BI93">
            <v>66832485</v>
          </cell>
          <cell r="BJ93">
            <v>73381034</v>
          </cell>
          <cell r="BL93">
            <v>169</v>
          </cell>
          <cell r="BM93">
            <v>230</v>
          </cell>
          <cell r="BN93">
            <v>244</v>
          </cell>
          <cell r="BO93">
            <v>73</v>
          </cell>
          <cell r="BP93">
            <v>30</v>
          </cell>
          <cell r="BQ93">
            <v>41</v>
          </cell>
        </row>
        <row r="94">
          <cell r="A94">
            <v>288</v>
          </cell>
          <cell r="B94" t="str">
            <v>288 - Central Heights</v>
          </cell>
          <cell r="C94" t="str">
            <v>Franklin</v>
          </cell>
          <cell r="D94">
            <v>40204738</v>
          </cell>
          <cell r="E94">
            <v>34325833</v>
          </cell>
          <cell r="F94">
            <v>43199122</v>
          </cell>
          <cell r="G94">
            <v>33364136</v>
          </cell>
          <cell r="H94">
            <v>515.29999999999995</v>
          </cell>
          <cell r="I94">
            <v>540</v>
          </cell>
          <cell r="J94">
            <v>142.1</v>
          </cell>
          <cell r="K94">
            <v>5960975</v>
          </cell>
          <cell r="L94">
            <v>504.9</v>
          </cell>
          <cell r="M94">
            <v>519.29999999999995</v>
          </cell>
          <cell r="N94">
            <v>545.5</v>
          </cell>
          <cell r="O94">
            <v>524.9</v>
          </cell>
          <cell r="P94">
            <v>518204</v>
          </cell>
          <cell r="Q94">
            <v>634572</v>
          </cell>
          <cell r="R94">
            <v>1081274</v>
          </cell>
          <cell r="S94">
            <v>479646</v>
          </cell>
          <cell r="T94">
            <v>15315</v>
          </cell>
          <cell r="U94">
            <v>8846</v>
          </cell>
          <cell r="V94">
            <v>0.03</v>
          </cell>
          <cell r="W94">
            <v>0.5</v>
          </cell>
          <cell r="X94">
            <v>241</v>
          </cell>
          <cell r="Y94">
            <v>40</v>
          </cell>
          <cell r="Z94">
            <v>0.49</v>
          </cell>
          <cell r="AA94">
            <v>0</v>
          </cell>
          <cell r="AB94">
            <v>0.52580000000000005</v>
          </cell>
          <cell r="AC94">
            <v>503077</v>
          </cell>
          <cell r="AD94">
            <v>526405</v>
          </cell>
          <cell r="AE94">
            <v>526405</v>
          </cell>
          <cell r="AF94">
            <v>504.3</v>
          </cell>
          <cell r="AG94">
            <v>518.29999999999995</v>
          </cell>
          <cell r="AH94">
            <v>545.5</v>
          </cell>
          <cell r="AI94">
            <v>524.9</v>
          </cell>
          <cell r="AJ94">
            <v>0</v>
          </cell>
          <cell r="AM94">
            <v>2</v>
          </cell>
          <cell r="AN94">
            <v>0</v>
          </cell>
          <cell r="AO94">
            <v>519.9</v>
          </cell>
          <cell r="AQ94">
            <v>0</v>
          </cell>
          <cell r="AT94">
            <v>0</v>
          </cell>
          <cell r="AU94">
            <v>0</v>
          </cell>
          <cell r="AV94">
            <v>4947844</v>
          </cell>
          <cell r="AW94">
            <v>169592</v>
          </cell>
          <cell r="AX94">
            <v>203134</v>
          </cell>
          <cell r="AY94">
            <v>977332</v>
          </cell>
          <cell r="AZ94">
            <v>1</v>
          </cell>
          <cell r="BA94">
            <v>1</v>
          </cell>
          <cell r="BB94">
            <v>0</v>
          </cell>
          <cell r="BC94">
            <v>0</v>
          </cell>
          <cell r="BE94">
            <v>5326403</v>
          </cell>
          <cell r="BF94">
            <v>337</v>
          </cell>
          <cell r="BG94">
            <v>402</v>
          </cell>
          <cell r="BH94">
            <v>33</v>
          </cell>
          <cell r="BI94">
            <v>40204738</v>
          </cell>
          <cell r="BJ94">
            <v>43199122</v>
          </cell>
          <cell r="BL94">
            <v>176</v>
          </cell>
          <cell r="BM94">
            <v>222</v>
          </cell>
          <cell r="BN94">
            <v>257</v>
          </cell>
          <cell r="BO94">
            <v>58</v>
          </cell>
          <cell r="BP94">
            <v>45</v>
          </cell>
          <cell r="BQ94">
            <v>41</v>
          </cell>
        </row>
        <row r="95">
          <cell r="A95">
            <v>289</v>
          </cell>
          <cell r="B95" t="str">
            <v>289 - Wellsville</v>
          </cell>
          <cell r="C95" t="str">
            <v>Franklin</v>
          </cell>
          <cell r="D95">
            <v>85316538</v>
          </cell>
          <cell r="E95">
            <v>75930826</v>
          </cell>
          <cell r="F95">
            <v>93306982</v>
          </cell>
          <cell r="G95">
            <v>76850638</v>
          </cell>
          <cell r="H95">
            <v>774.5</v>
          </cell>
          <cell r="I95">
            <v>744.5</v>
          </cell>
          <cell r="J95">
            <v>130</v>
          </cell>
          <cell r="K95">
            <v>7711105</v>
          </cell>
          <cell r="L95">
            <v>748</v>
          </cell>
          <cell r="M95">
            <v>787.8</v>
          </cell>
          <cell r="N95">
            <v>760.4</v>
          </cell>
          <cell r="O95">
            <v>800.5</v>
          </cell>
          <cell r="P95">
            <v>1070491</v>
          </cell>
          <cell r="Q95">
            <v>1146158</v>
          </cell>
          <cell r="R95">
            <v>861652</v>
          </cell>
          <cell r="S95">
            <v>787622</v>
          </cell>
          <cell r="T95">
            <v>14710</v>
          </cell>
          <cell r="U95">
            <v>25043</v>
          </cell>
          <cell r="V95">
            <v>0</v>
          </cell>
          <cell r="W95">
            <v>0.14000000000000001</v>
          </cell>
          <cell r="X95">
            <v>226</v>
          </cell>
          <cell r="Y95">
            <v>51</v>
          </cell>
          <cell r="Z95">
            <v>0.14000000000000001</v>
          </cell>
          <cell r="AA95">
            <v>0</v>
          </cell>
          <cell r="AB95">
            <v>0.31840000000000002</v>
          </cell>
          <cell r="AC95">
            <v>706999</v>
          </cell>
          <cell r="AD95">
            <v>700707</v>
          </cell>
          <cell r="AE95">
            <v>700707</v>
          </cell>
          <cell r="AF95">
            <v>747.5</v>
          </cell>
          <cell r="AG95">
            <v>787</v>
          </cell>
          <cell r="AH95">
            <v>757.5</v>
          </cell>
          <cell r="AI95">
            <v>797.5</v>
          </cell>
          <cell r="AJ95">
            <v>4.8999999999999998E-3</v>
          </cell>
          <cell r="AM95">
            <v>0</v>
          </cell>
          <cell r="AN95">
            <v>0</v>
          </cell>
          <cell r="AO95">
            <v>778</v>
          </cell>
          <cell r="AQ95">
            <v>0</v>
          </cell>
          <cell r="AT95">
            <v>0</v>
          </cell>
          <cell r="AU95">
            <v>0</v>
          </cell>
          <cell r="AV95">
            <v>6132590</v>
          </cell>
          <cell r="AW95">
            <v>172293</v>
          </cell>
          <cell r="AX95">
            <v>143137</v>
          </cell>
          <cell r="AY95">
            <v>839112</v>
          </cell>
          <cell r="AZ95">
            <v>1</v>
          </cell>
          <cell r="BA95">
            <v>1</v>
          </cell>
          <cell r="BB95">
            <v>0</v>
          </cell>
          <cell r="BC95">
            <v>0</v>
          </cell>
          <cell r="BE95">
            <v>6564947</v>
          </cell>
          <cell r="BF95">
            <v>2260</v>
          </cell>
          <cell r="BG95">
            <v>3385</v>
          </cell>
          <cell r="BH95">
            <v>33</v>
          </cell>
          <cell r="BI95">
            <v>86286250</v>
          </cell>
          <cell r="BJ95">
            <v>94286349</v>
          </cell>
          <cell r="BL95">
            <v>180</v>
          </cell>
          <cell r="BM95">
            <v>211</v>
          </cell>
          <cell r="BN95">
            <v>207</v>
          </cell>
          <cell r="BO95">
            <v>84</v>
          </cell>
          <cell r="BP95">
            <v>38</v>
          </cell>
          <cell r="BQ95">
            <v>45</v>
          </cell>
        </row>
        <row r="96">
          <cell r="A96">
            <v>290</v>
          </cell>
          <cell r="B96" t="str">
            <v>290 - Ottawa</v>
          </cell>
          <cell r="C96" t="str">
            <v>Franklin</v>
          </cell>
          <cell r="D96">
            <v>197026200</v>
          </cell>
          <cell r="E96">
            <v>171867158</v>
          </cell>
          <cell r="F96">
            <v>215792476</v>
          </cell>
          <cell r="G96">
            <v>171557765</v>
          </cell>
          <cell r="H96">
            <v>2209.9</v>
          </cell>
          <cell r="I96">
            <v>2116.1999999999998</v>
          </cell>
          <cell r="J96">
            <v>115.9</v>
          </cell>
          <cell r="K96">
            <v>19193386</v>
          </cell>
          <cell r="L96">
            <v>2241.5</v>
          </cell>
          <cell r="M96">
            <v>2254</v>
          </cell>
          <cell r="N96">
            <v>2167.4</v>
          </cell>
          <cell r="O96">
            <v>2060.3000000000002</v>
          </cell>
          <cell r="P96">
            <v>2851003</v>
          </cell>
          <cell r="Q96">
            <v>2873562</v>
          </cell>
          <cell r="R96">
            <v>3188189</v>
          </cell>
          <cell r="S96">
            <v>1820815</v>
          </cell>
          <cell r="T96">
            <v>0</v>
          </cell>
          <cell r="U96">
            <v>0</v>
          </cell>
          <cell r="V96">
            <v>0</v>
          </cell>
          <cell r="W96">
            <v>0.33</v>
          </cell>
          <cell r="X96">
            <v>1051</v>
          </cell>
          <cell r="Y96">
            <v>193</v>
          </cell>
          <cell r="Z96">
            <v>0.32</v>
          </cell>
          <cell r="AA96">
            <v>0</v>
          </cell>
          <cell r="AB96">
            <v>0.45490000000000003</v>
          </cell>
          <cell r="AC96">
            <v>2665779</v>
          </cell>
          <cell r="AD96">
            <v>2584044</v>
          </cell>
          <cell r="AE96">
            <v>2584044</v>
          </cell>
          <cell r="AF96">
            <v>2222.3000000000002</v>
          </cell>
          <cell r="AG96">
            <v>2242.4</v>
          </cell>
          <cell r="AH96">
            <v>2155.1999999999998</v>
          </cell>
          <cell r="AI96">
            <v>2048.9</v>
          </cell>
          <cell r="AJ96">
            <v>0</v>
          </cell>
          <cell r="AM96">
            <v>10</v>
          </cell>
          <cell r="AN96">
            <v>0</v>
          </cell>
          <cell r="AO96">
            <v>2006.9</v>
          </cell>
          <cell r="AQ96">
            <v>0</v>
          </cell>
          <cell r="AT96">
            <v>0</v>
          </cell>
          <cell r="AU96">
            <v>0</v>
          </cell>
          <cell r="AV96">
            <v>15835522</v>
          </cell>
          <cell r="AW96">
            <v>732012</v>
          </cell>
          <cell r="AX96">
            <v>766379</v>
          </cell>
          <cell r="AY96">
            <v>3211659</v>
          </cell>
          <cell r="AZ96">
            <v>1</v>
          </cell>
          <cell r="BA96">
            <v>1</v>
          </cell>
          <cell r="BB96">
            <v>0</v>
          </cell>
          <cell r="BC96">
            <v>0</v>
          </cell>
          <cell r="BE96">
            <v>16319824</v>
          </cell>
          <cell r="BF96">
            <v>7003</v>
          </cell>
          <cell r="BG96">
            <v>4739</v>
          </cell>
          <cell r="BH96">
            <v>33</v>
          </cell>
          <cell r="BI96">
            <v>187393774</v>
          </cell>
          <cell r="BJ96">
            <v>203849687</v>
          </cell>
          <cell r="BL96">
            <v>828</v>
          </cell>
          <cell r="BM96">
            <v>1059</v>
          </cell>
          <cell r="BN96">
            <v>1089</v>
          </cell>
          <cell r="BO96">
            <v>329</v>
          </cell>
          <cell r="BP96">
            <v>254</v>
          </cell>
          <cell r="BQ96">
            <v>174</v>
          </cell>
        </row>
        <row r="97">
          <cell r="A97">
            <v>291</v>
          </cell>
          <cell r="B97" t="str">
            <v>291 - Grinnell Public Schools</v>
          </cell>
          <cell r="C97" t="str">
            <v>Gove</v>
          </cell>
          <cell r="D97">
            <v>27087664</v>
          </cell>
          <cell r="E97">
            <v>25838030</v>
          </cell>
          <cell r="F97">
            <v>25939147</v>
          </cell>
          <cell r="G97">
            <v>24001959</v>
          </cell>
          <cell r="H97">
            <v>60</v>
          </cell>
          <cell r="I97">
            <v>67</v>
          </cell>
          <cell r="J97">
            <v>267.8</v>
          </cell>
          <cell r="K97">
            <v>964275</v>
          </cell>
          <cell r="L97">
            <v>63</v>
          </cell>
          <cell r="M97">
            <v>60.5</v>
          </cell>
          <cell r="N97">
            <v>68</v>
          </cell>
          <cell r="O97">
            <v>67.599999999999994</v>
          </cell>
          <cell r="P97">
            <v>74527</v>
          </cell>
          <cell r="Q97">
            <v>92211</v>
          </cell>
          <cell r="R97">
            <v>0</v>
          </cell>
          <cell r="S97">
            <v>85263</v>
          </cell>
          <cell r="T97">
            <v>0</v>
          </cell>
          <cell r="U97">
            <v>0</v>
          </cell>
          <cell r="V97">
            <v>0</v>
          </cell>
          <cell r="W97">
            <v>0</v>
          </cell>
          <cell r="X97">
            <v>27</v>
          </cell>
          <cell r="Y97">
            <v>2</v>
          </cell>
          <cell r="Z97">
            <v>0</v>
          </cell>
          <cell r="AA97">
            <v>0</v>
          </cell>
          <cell r="AB97">
            <v>0</v>
          </cell>
          <cell r="AC97">
            <v>111771</v>
          </cell>
          <cell r="AD97">
            <v>97455</v>
          </cell>
          <cell r="AE97">
            <v>97455</v>
          </cell>
          <cell r="AF97">
            <v>63</v>
          </cell>
          <cell r="AG97">
            <v>60.5</v>
          </cell>
          <cell r="AH97">
            <v>68</v>
          </cell>
          <cell r="AI97">
            <v>67.599999999999994</v>
          </cell>
          <cell r="AJ97">
            <v>0</v>
          </cell>
          <cell r="AM97">
            <v>0</v>
          </cell>
          <cell r="AN97">
            <v>0</v>
          </cell>
          <cell r="AO97">
            <v>66.599999999999994</v>
          </cell>
          <cell r="AQ97">
            <v>0</v>
          </cell>
          <cell r="AT97">
            <v>0</v>
          </cell>
          <cell r="AU97">
            <v>0</v>
          </cell>
          <cell r="AV97">
            <v>768308</v>
          </cell>
          <cell r="AW97">
            <v>0</v>
          </cell>
          <cell r="AX97">
            <v>0</v>
          </cell>
          <cell r="AY97">
            <v>0</v>
          </cell>
          <cell r="AZ97">
            <v>1</v>
          </cell>
          <cell r="BA97">
            <v>1</v>
          </cell>
          <cell r="BB97">
            <v>0</v>
          </cell>
          <cell r="BC97">
            <v>0</v>
          </cell>
          <cell r="BE97">
            <v>866164</v>
          </cell>
          <cell r="BF97">
            <v>470</v>
          </cell>
          <cell r="BG97">
            <v>507</v>
          </cell>
          <cell r="BH97">
            <v>33</v>
          </cell>
          <cell r="BI97">
            <v>27087664</v>
          </cell>
          <cell r="BJ97">
            <v>25901735</v>
          </cell>
          <cell r="BL97">
            <v>23</v>
          </cell>
          <cell r="BM97">
            <v>18</v>
          </cell>
          <cell r="BN97">
            <v>27</v>
          </cell>
          <cell r="BO97">
            <v>7</v>
          </cell>
          <cell r="BP97">
            <v>6</v>
          </cell>
          <cell r="BQ97">
            <v>5</v>
          </cell>
        </row>
        <row r="98">
          <cell r="A98">
            <v>292</v>
          </cell>
          <cell r="B98" t="str">
            <v>292 - Wheatland</v>
          </cell>
          <cell r="C98" t="str">
            <v>Gove</v>
          </cell>
          <cell r="D98">
            <v>25434089</v>
          </cell>
          <cell r="E98">
            <v>23657462</v>
          </cell>
          <cell r="F98">
            <v>23893509</v>
          </cell>
          <cell r="G98">
            <v>21205666</v>
          </cell>
          <cell r="H98">
            <v>109.5</v>
          </cell>
          <cell r="I98">
            <v>116.5</v>
          </cell>
          <cell r="J98">
            <v>437</v>
          </cell>
          <cell r="K98">
            <v>1563922</v>
          </cell>
          <cell r="L98">
            <v>107</v>
          </cell>
          <cell r="M98">
            <v>109.5</v>
          </cell>
          <cell r="N98">
            <v>116.5</v>
          </cell>
          <cell r="O98">
            <v>111.5</v>
          </cell>
          <cell r="P98">
            <v>93981</v>
          </cell>
          <cell r="Q98">
            <v>110544</v>
          </cell>
          <cell r="R98">
            <v>0</v>
          </cell>
          <cell r="S98">
            <v>197465</v>
          </cell>
          <cell r="T98">
            <v>0</v>
          </cell>
          <cell r="U98">
            <v>0</v>
          </cell>
          <cell r="V98">
            <v>0</v>
          </cell>
          <cell r="W98">
            <v>0</v>
          </cell>
          <cell r="X98">
            <v>39</v>
          </cell>
          <cell r="Y98">
            <v>22</v>
          </cell>
          <cell r="Z98">
            <v>0</v>
          </cell>
          <cell r="AA98">
            <v>0</v>
          </cell>
          <cell r="AB98">
            <v>0</v>
          </cell>
          <cell r="AC98">
            <v>172508</v>
          </cell>
          <cell r="AD98">
            <v>149681</v>
          </cell>
          <cell r="AE98">
            <v>149681</v>
          </cell>
          <cell r="AF98">
            <v>107</v>
          </cell>
          <cell r="AG98">
            <v>109.5</v>
          </cell>
          <cell r="AH98">
            <v>116.5</v>
          </cell>
          <cell r="AI98">
            <v>111.5</v>
          </cell>
          <cell r="AJ98">
            <v>0</v>
          </cell>
          <cell r="AM98">
            <v>0</v>
          </cell>
          <cell r="AN98">
            <v>0</v>
          </cell>
          <cell r="AO98">
            <v>111.5</v>
          </cell>
          <cell r="AQ98">
            <v>0</v>
          </cell>
          <cell r="AT98">
            <v>0</v>
          </cell>
          <cell r="AU98">
            <v>0</v>
          </cell>
          <cell r="AV98">
            <v>1378163</v>
          </cell>
          <cell r="AW98">
            <v>0</v>
          </cell>
          <cell r="AX98">
            <v>0</v>
          </cell>
          <cell r="AY98">
            <v>0</v>
          </cell>
          <cell r="AZ98">
            <v>1</v>
          </cell>
          <cell r="BA98">
            <v>1</v>
          </cell>
          <cell r="BB98">
            <v>0</v>
          </cell>
          <cell r="BC98">
            <v>0</v>
          </cell>
          <cell r="BE98">
            <v>1444135</v>
          </cell>
          <cell r="BF98">
            <v>554</v>
          </cell>
          <cell r="BG98">
            <v>473</v>
          </cell>
          <cell r="BH98">
            <v>33</v>
          </cell>
          <cell r="BI98">
            <v>25434089</v>
          </cell>
          <cell r="BJ98">
            <v>23771179</v>
          </cell>
          <cell r="BL98">
            <v>31</v>
          </cell>
          <cell r="BM98">
            <v>41</v>
          </cell>
          <cell r="BN98">
            <v>55</v>
          </cell>
          <cell r="BO98">
            <v>14</v>
          </cell>
          <cell r="BP98">
            <v>13</v>
          </cell>
          <cell r="BQ98">
            <v>13</v>
          </cell>
        </row>
        <row r="99">
          <cell r="A99">
            <v>293</v>
          </cell>
          <cell r="B99" t="str">
            <v>293 - Quinter Public Schools</v>
          </cell>
          <cell r="C99" t="str">
            <v>Gove</v>
          </cell>
          <cell r="D99">
            <v>31658030</v>
          </cell>
          <cell r="E99">
            <v>28872918</v>
          </cell>
          <cell r="F99">
            <v>30991827</v>
          </cell>
          <cell r="G99">
            <v>26501895</v>
          </cell>
          <cell r="H99">
            <v>306.7</v>
          </cell>
          <cell r="I99">
            <v>289.2</v>
          </cell>
          <cell r="J99">
            <v>400.8</v>
          </cell>
          <cell r="K99">
            <v>3435466</v>
          </cell>
          <cell r="L99">
            <v>309</v>
          </cell>
          <cell r="M99">
            <v>307.7</v>
          </cell>
          <cell r="N99">
            <v>293.2</v>
          </cell>
          <cell r="O99">
            <v>280.7</v>
          </cell>
          <cell r="P99">
            <v>460656</v>
          </cell>
          <cell r="Q99">
            <v>564469</v>
          </cell>
          <cell r="R99">
            <v>396976</v>
          </cell>
          <cell r="S99">
            <v>368645</v>
          </cell>
          <cell r="T99">
            <v>0</v>
          </cell>
          <cell r="U99">
            <v>0</v>
          </cell>
          <cell r="V99">
            <v>0</v>
          </cell>
          <cell r="W99">
            <v>0.25</v>
          </cell>
          <cell r="X99">
            <v>97</v>
          </cell>
          <cell r="Y99">
            <v>18</v>
          </cell>
          <cell r="Z99">
            <v>0.24</v>
          </cell>
          <cell r="AA99">
            <v>0</v>
          </cell>
          <cell r="AB99">
            <v>0.33489999999999998</v>
          </cell>
          <cell r="AC99">
            <v>330342</v>
          </cell>
          <cell r="AD99">
            <v>319903</v>
          </cell>
          <cell r="AE99">
            <v>319903</v>
          </cell>
          <cell r="AF99">
            <v>309</v>
          </cell>
          <cell r="AG99">
            <v>307.7</v>
          </cell>
          <cell r="AH99">
            <v>293.2</v>
          </cell>
          <cell r="AI99">
            <v>280.7</v>
          </cell>
          <cell r="AJ99">
            <v>0</v>
          </cell>
          <cell r="AM99">
            <v>0</v>
          </cell>
          <cell r="AN99">
            <v>0</v>
          </cell>
          <cell r="AO99">
            <v>275.2</v>
          </cell>
          <cell r="AQ99">
            <v>0</v>
          </cell>
          <cell r="AT99">
            <v>0</v>
          </cell>
          <cell r="AU99">
            <v>0</v>
          </cell>
          <cell r="AV99">
            <v>2711571</v>
          </cell>
          <cell r="AW99">
            <v>52690</v>
          </cell>
          <cell r="AX99">
            <v>57682</v>
          </cell>
          <cell r="AY99">
            <v>364881</v>
          </cell>
          <cell r="AZ99">
            <v>1</v>
          </cell>
          <cell r="BA99">
            <v>1</v>
          </cell>
          <cell r="BB99">
            <v>0</v>
          </cell>
          <cell r="BC99">
            <v>0</v>
          </cell>
          <cell r="BE99">
            <v>2858299</v>
          </cell>
          <cell r="BF99">
            <v>1247</v>
          </cell>
          <cell r="BG99">
            <v>674</v>
          </cell>
          <cell r="BH99">
            <v>33</v>
          </cell>
          <cell r="BI99">
            <v>31658030</v>
          </cell>
          <cell r="BJ99">
            <v>30042806</v>
          </cell>
          <cell r="BL99">
            <v>48</v>
          </cell>
          <cell r="BM99">
            <v>87</v>
          </cell>
          <cell r="BN99">
            <v>76</v>
          </cell>
          <cell r="BO99">
            <v>42</v>
          </cell>
          <cell r="BP99">
            <v>18</v>
          </cell>
          <cell r="BQ99">
            <v>37</v>
          </cell>
        </row>
        <row r="100">
          <cell r="A100">
            <v>294</v>
          </cell>
          <cell r="B100" t="str">
            <v>294 - Oberlin</v>
          </cell>
          <cell r="C100" t="str">
            <v>Decatur</v>
          </cell>
          <cell r="D100">
            <v>58053501</v>
          </cell>
          <cell r="E100">
            <v>52488622</v>
          </cell>
          <cell r="F100">
            <v>57224989</v>
          </cell>
          <cell r="G100">
            <v>48972990</v>
          </cell>
          <cell r="H100">
            <v>371.8</v>
          </cell>
          <cell r="I100">
            <v>367.5</v>
          </cell>
          <cell r="J100">
            <v>828</v>
          </cell>
          <cell r="K100">
            <v>4206672</v>
          </cell>
          <cell r="L100">
            <v>367.9</v>
          </cell>
          <cell r="M100">
            <v>385.3</v>
          </cell>
          <cell r="N100">
            <v>376</v>
          </cell>
          <cell r="O100">
            <v>353.1</v>
          </cell>
          <cell r="P100">
            <v>384404</v>
          </cell>
          <cell r="Q100">
            <v>424127</v>
          </cell>
          <cell r="R100">
            <v>0</v>
          </cell>
          <cell r="S100">
            <v>336024</v>
          </cell>
          <cell r="T100">
            <v>0</v>
          </cell>
          <cell r="U100">
            <v>0</v>
          </cell>
          <cell r="V100">
            <v>0</v>
          </cell>
          <cell r="W100">
            <v>0</v>
          </cell>
          <cell r="X100">
            <v>187</v>
          </cell>
          <cell r="Y100">
            <v>28</v>
          </cell>
          <cell r="Z100">
            <v>0</v>
          </cell>
          <cell r="AA100">
            <v>0</v>
          </cell>
          <cell r="AB100">
            <v>2.3099999999999999E-2</v>
          </cell>
          <cell r="AC100">
            <v>393910</v>
          </cell>
          <cell r="AD100">
            <v>399172</v>
          </cell>
          <cell r="AE100">
            <v>399172</v>
          </cell>
          <cell r="AF100">
            <v>367.9</v>
          </cell>
          <cell r="AG100">
            <v>385.3</v>
          </cell>
          <cell r="AH100">
            <v>376</v>
          </cell>
          <cell r="AI100">
            <v>353.1</v>
          </cell>
          <cell r="AJ100">
            <v>0</v>
          </cell>
          <cell r="AM100">
            <v>0</v>
          </cell>
          <cell r="AN100">
            <v>0</v>
          </cell>
          <cell r="AO100">
            <v>345.6</v>
          </cell>
          <cell r="AQ100">
            <v>0</v>
          </cell>
          <cell r="AT100">
            <v>0</v>
          </cell>
          <cell r="AU100">
            <v>0</v>
          </cell>
          <cell r="AV100">
            <v>3581279</v>
          </cell>
          <cell r="AW100">
            <v>0</v>
          </cell>
          <cell r="AX100">
            <v>0</v>
          </cell>
          <cell r="AY100">
            <v>0</v>
          </cell>
          <cell r="AZ100">
            <v>1</v>
          </cell>
          <cell r="BA100">
            <v>1</v>
          </cell>
          <cell r="BB100">
            <v>0</v>
          </cell>
          <cell r="BC100">
            <v>0</v>
          </cell>
          <cell r="BE100">
            <v>3774939</v>
          </cell>
          <cell r="BF100">
            <v>2936</v>
          </cell>
          <cell r="BG100">
            <v>1929</v>
          </cell>
          <cell r="BH100">
            <v>33</v>
          </cell>
          <cell r="BI100">
            <v>58053501</v>
          </cell>
          <cell r="BJ100">
            <v>56605142</v>
          </cell>
          <cell r="BL100">
            <v>128</v>
          </cell>
          <cell r="BM100">
            <v>187</v>
          </cell>
          <cell r="BN100">
            <v>191</v>
          </cell>
          <cell r="BO100">
            <v>52</v>
          </cell>
          <cell r="BP100">
            <v>28</v>
          </cell>
          <cell r="BQ100">
            <v>36</v>
          </cell>
        </row>
        <row r="101">
          <cell r="A101">
            <v>297</v>
          </cell>
          <cell r="B101" t="str">
            <v>297 - St Francis Comm Sch</v>
          </cell>
          <cell r="C101" t="str">
            <v>Cheyenne</v>
          </cell>
          <cell r="D101">
            <v>42390207</v>
          </cell>
          <cell r="E101">
            <v>37533720</v>
          </cell>
          <cell r="F101">
            <v>43421797</v>
          </cell>
          <cell r="G101">
            <v>35337356</v>
          </cell>
          <cell r="H101">
            <v>299</v>
          </cell>
          <cell r="I101">
            <v>298.5</v>
          </cell>
          <cell r="J101">
            <v>640</v>
          </cell>
          <cell r="K101">
            <v>3028890</v>
          </cell>
          <cell r="L101">
            <v>282.5</v>
          </cell>
          <cell r="M101">
            <v>299</v>
          </cell>
          <cell r="N101">
            <v>298.5</v>
          </cell>
          <cell r="O101">
            <v>292</v>
          </cell>
          <cell r="P101">
            <v>198450</v>
          </cell>
          <cell r="Q101">
            <v>213161</v>
          </cell>
          <cell r="R101">
            <v>121437</v>
          </cell>
          <cell r="S101">
            <v>211022</v>
          </cell>
          <cell r="T101">
            <v>0</v>
          </cell>
          <cell r="U101">
            <v>0</v>
          </cell>
          <cell r="V101">
            <v>0</v>
          </cell>
          <cell r="W101">
            <v>0</v>
          </cell>
          <cell r="X101">
            <v>86</v>
          </cell>
          <cell r="Y101">
            <v>55</v>
          </cell>
          <cell r="Z101">
            <v>0</v>
          </cell>
          <cell r="AA101">
            <v>0</v>
          </cell>
          <cell r="AB101">
            <v>0.12189999999999999</v>
          </cell>
          <cell r="AC101">
            <v>278056</v>
          </cell>
          <cell r="AD101">
            <v>279108</v>
          </cell>
          <cell r="AE101">
            <v>279108</v>
          </cell>
          <cell r="AF101">
            <v>282.5</v>
          </cell>
          <cell r="AG101">
            <v>299</v>
          </cell>
          <cell r="AH101">
            <v>298.5</v>
          </cell>
          <cell r="AI101">
            <v>292</v>
          </cell>
          <cell r="AJ101">
            <v>0</v>
          </cell>
          <cell r="AM101">
            <v>2</v>
          </cell>
          <cell r="AN101">
            <v>0</v>
          </cell>
          <cell r="AO101">
            <v>291</v>
          </cell>
          <cell r="AQ101">
            <v>0</v>
          </cell>
          <cell r="AT101">
            <v>0</v>
          </cell>
          <cell r="AU101">
            <v>0</v>
          </cell>
          <cell r="AV101">
            <v>2661716</v>
          </cell>
          <cell r="AW101">
            <v>0</v>
          </cell>
          <cell r="AX101">
            <v>0</v>
          </cell>
          <cell r="AY101">
            <v>65411</v>
          </cell>
          <cell r="AZ101">
            <v>1</v>
          </cell>
          <cell r="BA101">
            <v>1</v>
          </cell>
          <cell r="BB101">
            <v>0</v>
          </cell>
          <cell r="BC101">
            <v>0</v>
          </cell>
          <cell r="BE101">
            <v>2807568</v>
          </cell>
          <cell r="BF101">
            <v>2171</v>
          </cell>
          <cell r="BG101">
            <v>1380</v>
          </cell>
          <cell r="BH101">
            <v>32.5</v>
          </cell>
          <cell r="BI101">
            <v>42390207</v>
          </cell>
          <cell r="BJ101">
            <v>43421797</v>
          </cell>
          <cell r="BL101">
            <v>63</v>
          </cell>
          <cell r="BM101">
            <v>104</v>
          </cell>
          <cell r="BN101">
            <v>95</v>
          </cell>
          <cell r="BO101">
            <v>69</v>
          </cell>
          <cell r="BP101">
            <v>59</v>
          </cell>
          <cell r="BQ101">
            <v>37</v>
          </cell>
        </row>
        <row r="102">
          <cell r="A102">
            <v>298</v>
          </cell>
          <cell r="B102" t="str">
            <v>298 - Lincoln</v>
          </cell>
          <cell r="C102" t="str">
            <v>Lincoln</v>
          </cell>
          <cell r="D102">
            <v>43841222</v>
          </cell>
          <cell r="E102">
            <v>39342941</v>
          </cell>
          <cell r="F102">
            <v>43958462</v>
          </cell>
          <cell r="G102">
            <v>36807311</v>
          </cell>
          <cell r="H102">
            <v>307.5</v>
          </cell>
          <cell r="I102">
            <v>311.10000000000002</v>
          </cell>
          <cell r="J102">
            <v>444</v>
          </cell>
          <cell r="K102">
            <v>3747928</v>
          </cell>
          <cell r="L102">
            <v>315.5</v>
          </cell>
          <cell r="M102">
            <v>316</v>
          </cell>
          <cell r="N102">
            <v>322.60000000000002</v>
          </cell>
          <cell r="O102">
            <v>320.10000000000002</v>
          </cell>
          <cell r="P102">
            <v>334181</v>
          </cell>
          <cell r="Q102">
            <v>389772</v>
          </cell>
          <cell r="R102">
            <v>132456</v>
          </cell>
          <cell r="S102">
            <v>375477</v>
          </cell>
          <cell r="T102">
            <v>0</v>
          </cell>
          <cell r="U102">
            <v>0</v>
          </cell>
          <cell r="V102">
            <v>0</v>
          </cell>
          <cell r="W102">
            <v>0</v>
          </cell>
          <cell r="X102">
            <v>170</v>
          </cell>
          <cell r="Y102">
            <v>23</v>
          </cell>
          <cell r="Z102">
            <v>0</v>
          </cell>
          <cell r="AA102">
            <v>0</v>
          </cell>
          <cell r="AB102">
            <v>0.13980000000000001</v>
          </cell>
          <cell r="AC102">
            <v>332953</v>
          </cell>
          <cell r="AD102">
            <v>311271</v>
          </cell>
          <cell r="AE102">
            <v>311271</v>
          </cell>
          <cell r="AF102">
            <v>315.5</v>
          </cell>
          <cell r="AG102">
            <v>316</v>
          </cell>
          <cell r="AH102">
            <v>322.60000000000002</v>
          </cell>
          <cell r="AI102">
            <v>320.10000000000002</v>
          </cell>
          <cell r="AJ102">
            <v>0</v>
          </cell>
          <cell r="AM102">
            <v>2</v>
          </cell>
          <cell r="AN102">
            <v>0</v>
          </cell>
          <cell r="AO102">
            <v>308.10000000000002</v>
          </cell>
          <cell r="AQ102">
            <v>0</v>
          </cell>
          <cell r="AT102">
            <v>0</v>
          </cell>
          <cell r="AU102">
            <v>0</v>
          </cell>
          <cell r="AV102">
            <v>3073253</v>
          </cell>
          <cell r="AW102">
            <v>0</v>
          </cell>
          <cell r="AX102">
            <v>0</v>
          </cell>
          <cell r="AY102">
            <v>75454</v>
          </cell>
          <cell r="AZ102">
            <v>1</v>
          </cell>
          <cell r="BA102">
            <v>1</v>
          </cell>
          <cell r="BB102">
            <v>0</v>
          </cell>
          <cell r="BC102">
            <v>0</v>
          </cell>
          <cell r="BE102">
            <v>3358156</v>
          </cell>
          <cell r="BF102">
            <v>1129</v>
          </cell>
          <cell r="BG102">
            <v>2223</v>
          </cell>
          <cell r="BH102">
            <v>33</v>
          </cell>
          <cell r="BI102">
            <v>43841222</v>
          </cell>
          <cell r="BJ102">
            <v>43865500</v>
          </cell>
          <cell r="BL102">
            <v>105</v>
          </cell>
          <cell r="BM102">
            <v>164</v>
          </cell>
          <cell r="BN102">
            <v>155</v>
          </cell>
          <cell r="BO102">
            <v>60</v>
          </cell>
          <cell r="BP102">
            <v>23</v>
          </cell>
          <cell r="BQ102">
            <v>28</v>
          </cell>
        </row>
        <row r="103">
          <cell r="A103">
            <v>299</v>
          </cell>
          <cell r="B103" t="str">
            <v>299 - Sylvan Grove</v>
          </cell>
          <cell r="C103" t="str">
            <v>Lincoln</v>
          </cell>
          <cell r="D103">
            <v>38030419</v>
          </cell>
          <cell r="E103">
            <v>34139564</v>
          </cell>
          <cell r="F103">
            <v>37220961</v>
          </cell>
          <cell r="G103">
            <v>31316121</v>
          </cell>
          <cell r="H103">
            <v>234.4</v>
          </cell>
          <cell r="I103">
            <v>266.39999999999998</v>
          </cell>
          <cell r="J103">
            <v>623</v>
          </cell>
          <cell r="K103">
            <v>3294563</v>
          </cell>
          <cell r="L103">
            <v>235.1</v>
          </cell>
          <cell r="M103">
            <v>238.4</v>
          </cell>
          <cell r="N103">
            <v>275.89999999999998</v>
          </cell>
          <cell r="O103">
            <v>252.1</v>
          </cell>
          <cell r="P103">
            <v>253201</v>
          </cell>
          <cell r="Q103">
            <v>295964</v>
          </cell>
          <cell r="R103">
            <v>15740</v>
          </cell>
          <cell r="S103">
            <v>152613</v>
          </cell>
          <cell r="T103">
            <v>7763</v>
          </cell>
          <cell r="U103">
            <v>8127</v>
          </cell>
          <cell r="V103">
            <v>0</v>
          </cell>
          <cell r="W103">
            <v>0</v>
          </cell>
          <cell r="X103">
            <v>105</v>
          </cell>
          <cell r="Y103">
            <v>5</v>
          </cell>
          <cell r="Z103">
            <v>0</v>
          </cell>
          <cell r="AA103">
            <v>0</v>
          </cell>
          <cell r="AB103">
            <v>7.2900000000000006E-2</v>
          </cell>
          <cell r="AC103">
            <v>256699</v>
          </cell>
          <cell r="AD103">
            <v>247760</v>
          </cell>
          <cell r="AE103">
            <v>247760</v>
          </cell>
          <cell r="AF103">
            <v>235.1</v>
          </cell>
          <cell r="AG103">
            <v>238.4</v>
          </cell>
          <cell r="AH103">
            <v>275.89999999999998</v>
          </cell>
          <cell r="AI103">
            <v>252.1</v>
          </cell>
          <cell r="AJ103">
            <v>0</v>
          </cell>
          <cell r="AM103">
            <v>0</v>
          </cell>
          <cell r="AN103">
            <v>0</v>
          </cell>
          <cell r="AO103">
            <v>244.6</v>
          </cell>
          <cell r="AQ103">
            <v>0</v>
          </cell>
          <cell r="AT103">
            <v>0</v>
          </cell>
          <cell r="AU103">
            <v>0</v>
          </cell>
          <cell r="AV103">
            <v>2635226</v>
          </cell>
          <cell r="AW103">
            <v>0</v>
          </cell>
          <cell r="AX103">
            <v>0</v>
          </cell>
          <cell r="AY103">
            <v>0</v>
          </cell>
          <cell r="AZ103">
            <v>1</v>
          </cell>
          <cell r="BA103">
            <v>1</v>
          </cell>
          <cell r="BB103">
            <v>0</v>
          </cell>
          <cell r="BC103">
            <v>0</v>
          </cell>
          <cell r="BE103">
            <v>2998599</v>
          </cell>
          <cell r="BF103">
            <v>229</v>
          </cell>
          <cell r="BG103">
            <v>74</v>
          </cell>
          <cell r="BH103">
            <v>33</v>
          </cell>
          <cell r="BI103">
            <v>38030419</v>
          </cell>
          <cell r="BJ103">
            <v>37074176</v>
          </cell>
          <cell r="BL103">
            <v>62</v>
          </cell>
          <cell r="BM103">
            <v>88</v>
          </cell>
          <cell r="BN103">
            <v>114</v>
          </cell>
          <cell r="BO103">
            <v>37</v>
          </cell>
          <cell r="BP103">
            <v>33</v>
          </cell>
          <cell r="BQ103">
            <v>22</v>
          </cell>
        </row>
        <row r="104">
          <cell r="A104">
            <v>300</v>
          </cell>
          <cell r="B104" t="str">
            <v>300 - Comanche County</v>
          </cell>
          <cell r="C104" t="str">
            <v>Comanche</v>
          </cell>
          <cell r="D104">
            <v>34051991</v>
          </cell>
          <cell r="E104">
            <v>30397791</v>
          </cell>
          <cell r="F104">
            <v>33459261</v>
          </cell>
          <cell r="G104">
            <v>28477302</v>
          </cell>
          <cell r="H104">
            <v>297.5</v>
          </cell>
          <cell r="I104">
            <v>303</v>
          </cell>
          <cell r="J104">
            <v>864</v>
          </cell>
          <cell r="K104">
            <v>3721038</v>
          </cell>
          <cell r="L104">
            <v>310</v>
          </cell>
          <cell r="M104">
            <v>303.5</v>
          </cell>
          <cell r="N104">
            <v>305.5</v>
          </cell>
          <cell r="O104">
            <v>304.5</v>
          </cell>
          <cell r="P104">
            <v>421374</v>
          </cell>
          <cell r="Q104">
            <v>457400</v>
          </cell>
          <cell r="R104">
            <v>314871</v>
          </cell>
          <cell r="S104">
            <v>356029</v>
          </cell>
          <cell r="T104">
            <v>0</v>
          </cell>
          <cell r="U104">
            <v>0</v>
          </cell>
          <cell r="V104">
            <v>0</v>
          </cell>
          <cell r="W104">
            <v>0.23</v>
          </cell>
          <cell r="X104">
            <v>145</v>
          </cell>
          <cell r="Y104">
            <v>37</v>
          </cell>
          <cell r="Z104">
            <v>0.22</v>
          </cell>
          <cell r="AA104">
            <v>0</v>
          </cell>
          <cell r="AB104">
            <v>0.29160000000000003</v>
          </cell>
          <cell r="AC104">
            <v>289071</v>
          </cell>
          <cell r="AD104">
            <v>277343</v>
          </cell>
          <cell r="AE104">
            <v>277343</v>
          </cell>
          <cell r="AF104">
            <v>310</v>
          </cell>
          <cell r="AG104">
            <v>303.5</v>
          </cell>
          <cell r="AH104">
            <v>305.5</v>
          </cell>
          <cell r="AI104">
            <v>304.5</v>
          </cell>
          <cell r="AJ104">
            <v>0</v>
          </cell>
          <cell r="AM104">
            <v>0</v>
          </cell>
          <cell r="AN104">
            <v>0</v>
          </cell>
          <cell r="AO104">
            <v>297.5</v>
          </cell>
          <cell r="AQ104">
            <v>0</v>
          </cell>
          <cell r="AT104">
            <v>0</v>
          </cell>
          <cell r="AU104">
            <v>0</v>
          </cell>
          <cell r="AV104">
            <v>2959516</v>
          </cell>
          <cell r="AW104">
            <v>13139</v>
          </cell>
          <cell r="AX104">
            <v>54507</v>
          </cell>
          <cell r="AY104">
            <v>214152</v>
          </cell>
          <cell r="AZ104">
            <v>1</v>
          </cell>
          <cell r="BA104">
            <v>1</v>
          </cell>
          <cell r="BB104">
            <v>0</v>
          </cell>
          <cell r="BC104">
            <v>0</v>
          </cell>
          <cell r="BE104">
            <v>3250488</v>
          </cell>
          <cell r="BF104">
            <v>1024</v>
          </cell>
          <cell r="BG104">
            <v>0</v>
          </cell>
          <cell r="BH104">
            <v>33</v>
          </cell>
          <cell r="BI104">
            <v>34051991</v>
          </cell>
          <cell r="BJ104">
            <v>33056121</v>
          </cell>
          <cell r="BL104">
            <v>95</v>
          </cell>
          <cell r="BM104">
            <v>128</v>
          </cell>
          <cell r="BN104">
            <v>125</v>
          </cell>
          <cell r="BO104">
            <v>51</v>
          </cell>
          <cell r="BP104">
            <v>28</v>
          </cell>
          <cell r="BQ104">
            <v>28</v>
          </cell>
        </row>
        <row r="105">
          <cell r="A105">
            <v>303</v>
          </cell>
          <cell r="B105" t="str">
            <v>303 - Ness City</v>
          </cell>
          <cell r="C105" t="str">
            <v>Ness</v>
          </cell>
          <cell r="D105">
            <v>46573449</v>
          </cell>
          <cell r="E105">
            <v>42995005</v>
          </cell>
          <cell r="F105">
            <v>42693029</v>
          </cell>
          <cell r="G105">
            <v>37239337</v>
          </cell>
          <cell r="H105">
            <v>261.60000000000002</v>
          </cell>
          <cell r="I105">
            <v>250.5</v>
          </cell>
          <cell r="J105">
            <v>517.79999999999995</v>
          </cell>
          <cell r="K105">
            <v>2789031</v>
          </cell>
          <cell r="L105">
            <v>276</v>
          </cell>
          <cell r="M105">
            <v>270.60000000000002</v>
          </cell>
          <cell r="N105">
            <v>264</v>
          </cell>
          <cell r="O105">
            <v>257.7</v>
          </cell>
          <cell r="P105">
            <v>221166</v>
          </cell>
          <cell r="Q105">
            <v>217295</v>
          </cell>
          <cell r="R105">
            <v>0</v>
          </cell>
          <cell r="S105">
            <v>229741</v>
          </cell>
          <cell r="T105">
            <v>0</v>
          </cell>
          <cell r="U105">
            <v>0</v>
          </cell>
          <cell r="V105">
            <v>0</v>
          </cell>
          <cell r="W105">
            <v>0</v>
          </cell>
          <cell r="X105">
            <v>83</v>
          </cell>
          <cell r="Y105">
            <v>24</v>
          </cell>
          <cell r="Z105">
            <v>0</v>
          </cell>
          <cell r="AA105">
            <v>0</v>
          </cell>
          <cell r="AB105">
            <v>0</v>
          </cell>
          <cell r="AC105">
            <v>293786</v>
          </cell>
          <cell r="AD105">
            <v>272524</v>
          </cell>
          <cell r="AE105">
            <v>272524</v>
          </cell>
          <cell r="AF105">
            <v>276</v>
          </cell>
          <cell r="AG105">
            <v>270.60000000000002</v>
          </cell>
          <cell r="AH105">
            <v>264</v>
          </cell>
          <cell r="AI105">
            <v>257.7</v>
          </cell>
          <cell r="AJ105">
            <v>0</v>
          </cell>
          <cell r="AM105">
            <v>0</v>
          </cell>
          <cell r="AN105">
            <v>0</v>
          </cell>
          <cell r="AO105">
            <v>247.7</v>
          </cell>
          <cell r="AQ105">
            <v>0</v>
          </cell>
          <cell r="AT105">
            <v>0</v>
          </cell>
          <cell r="AU105">
            <v>0</v>
          </cell>
          <cell r="AV105">
            <v>2496038</v>
          </cell>
          <cell r="AW105">
            <v>0</v>
          </cell>
          <cell r="AX105">
            <v>0</v>
          </cell>
          <cell r="AY105">
            <v>45239</v>
          </cell>
          <cell r="AZ105">
            <v>1</v>
          </cell>
          <cell r="BA105">
            <v>1</v>
          </cell>
          <cell r="BB105">
            <v>0</v>
          </cell>
          <cell r="BC105">
            <v>0</v>
          </cell>
          <cell r="BE105">
            <v>2551280</v>
          </cell>
          <cell r="BF105">
            <v>2273</v>
          </cell>
          <cell r="BG105">
            <v>3614</v>
          </cell>
          <cell r="BH105">
            <v>33</v>
          </cell>
          <cell r="BI105">
            <v>46573449</v>
          </cell>
          <cell r="BJ105">
            <v>42604928</v>
          </cell>
          <cell r="BL105">
            <v>81</v>
          </cell>
          <cell r="BM105">
            <v>99</v>
          </cell>
          <cell r="BN105">
            <v>86</v>
          </cell>
          <cell r="BO105">
            <v>49</v>
          </cell>
          <cell r="BP105">
            <v>24</v>
          </cell>
          <cell r="BQ105">
            <v>22</v>
          </cell>
        </row>
        <row r="106">
          <cell r="A106">
            <v>305</v>
          </cell>
          <cell r="B106" t="str">
            <v>305 - Salina</v>
          </cell>
          <cell r="C106" t="str">
            <v>Saline</v>
          </cell>
          <cell r="D106">
            <v>569548229</v>
          </cell>
          <cell r="E106">
            <v>483923373</v>
          </cell>
          <cell r="F106">
            <v>580355831</v>
          </cell>
          <cell r="G106">
            <v>432137594</v>
          </cell>
          <cell r="H106">
            <v>6517.4</v>
          </cell>
          <cell r="I106">
            <v>6444.9</v>
          </cell>
          <cell r="J106">
            <v>93</v>
          </cell>
          <cell r="K106">
            <v>58641775</v>
          </cell>
          <cell r="L106">
            <v>6724.9</v>
          </cell>
          <cell r="M106">
            <v>6680.7</v>
          </cell>
          <cell r="N106">
            <v>6567.6</v>
          </cell>
          <cell r="O106">
            <v>6491.8</v>
          </cell>
          <cell r="P106">
            <v>8046984</v>
          </cell>
          <cell r="Q106">
            <v>8825862</v>
          </cell>
          <cell r="R106">
            <v>9548237</v>
          </cell>
          <cell r="S106">
            <v>6968955</v>
          </cell>
          <cell r="T106">
            <v>6481</v>
          </cell>
          <cell r="U106">
            <v>648</v>
          </cell>
          <cell r="V106">
            <v>0</v>
          </cell>
          <cell r="W106">
            <v>0.43</v>
          </cell>
          <cell r="X106">
            <v>3356</v>
          </cell>
          <cell r="Y106">
            <v>738</v>
          </cell>
          <cell r="Z106">
            <v>0.43</v>
          </cell>
          <cell r="AA106">
            <v>0</v>
          </cell>
          <cell r="AB106">
            <v>0.4738</v>
          </cell>
          <cell r="AC106">
            <v>10347756</v>
          </cell>
          <cell r="AD106">
            <v>9769692</v>
          </cell>
          <cell r="AE106">
            <v>9769692</v>
          </cell>
          <cell r="AF106">
            <v>6599.2</v>
          </cell>
          <cell r="AG106">
            <v>6596.4</v>
          </cell>
          <cell r="AH106">
            <v>6514.4</v>
          </cell>
          <cell r="AI106">
            <v>6442.9</v>
          </cell>
          <cell r="AJ106">
            <v>0</v>
          </cell>
          <cell r="AM106">
            <v>87</v>
          </cell>
          <cell r="AN106">
            <v>0</v>
          </cell>
          <cell r="AO106">
            <v>6348.4</v>
          </cell>
          <cell r="AQ106">
            <v>0</v>
          </cell>
          <cell r="AT106">
            <v>0</v>
          </cell>
          <cell r="AU106">
            <v>0</v>
          </cell>
          <cell r="AV106">
            <v>47432980</v>
          </cell>
          <cell r="AW106">
            <v>2032085</v>
          </cell>
          <cell r="AX106">
            <v>2156360</v>
          </cell>
          <cell r="AY106">
            <v>9097772</v>
          </cell>
          <cell r="AZ106">
            <v>1</v>
          </cell>
          <cell r="BA106">
            <v>1</v>
          </cell>
          <cell r="BB106">
            <v>94360</v>
          </cell>
          <cell r="BC106">
            <v>95050</v>
          </cell>
          <cell r="BE106">
            <v>49815819</v>
          </cell>
          <cell r="BF106">
            <v>83596</v>
          </cell>
          <cell r="BG106">
            <v>73268</v>
          </cell>
          <cell r="BH106">
            <v>33</v>
          </cell>
          <cell r="BI106">
            <v>564468114</v>
          </cell>
          <cell r="BJ106">
            <v>580261450</v>
          </cell>
          <cell r="BL106">
            <v>3017</v>
          </cell>
          <cell r="BM106">
            <v>3495</v>
          </cell>
          <cell r="BN106">
            <v>3456</v>
          </cell>
          <cell r="BO106">
            <v>994</v>
          </cell>
          <cell r="BP106">
            <v>635</v>
          </cell>
          <cell r="BQ106">
            <v>648</v>
          </cell>
        </row>
        <row r="107">
          <cell r="A107">
            <v>306</v>
          </cell>
          <cell r="B107" t="str">
            <v>306 - Southeast Of Saline</v>
          </cell>
          <cell r="C107" t="str">
            <v>Saline</v>
          </cell>
          <cell r="D107">
            <v>82335118</v>
          </cell>
          <cell r="E107">
            <v>76226586</v>
          </cell>
          <cell r="F107">
            <v>81745961</v>
          </cell>
          <cell r="G107">
            <v>71357625</v>
          </cell>
          <cell r="H107">
            <v>678.5</v>
          </cell>
          <cell r="I107">
            <v>667.5</v>
          </cell>
          <cell r="J107">
            <v>217.5</v>
          </cell>
          <cell r="K107">
            <v>6767137</v>
          </cell>
          <cell r="L107">
            <v>676.2</v>
          </cell>
          <cell r="M107">
            <v>678.5</v>
          </cell>
          <cell r="N107">
            <v>667.5</v>
          </cell>
          <cell r="O107">
            <v>683.5</v>
          </cell>
          <cell r="P107">
            <v>700554</v>
          </cell>
          <cell r="Q107">
            <v>778078</v>
          </cell>
          <cell r="R107">
            <v>537641</v>
          </cell>
          <cell r="S107">
            <v>603783</v>
          </cell>
          <cell r="T107">
            <v>0</v>
          </cell>
          <cell r="U107">
            <v>2623</v>
          </cell>
          <cell r="V107">
            <v>0</v>
          </cell>
          <cell r="W107">
            <v>7.0000000000000007E-2</v>
          </cell>
          <cell r="X107">
            <v>170</v>
          </cell>
          <cell r="Y107">
            <v>41</v>
          </cell>
          <cell r="Z107">
            <v>0.11</v>
          </cell>
          <cell r="AA107">
            <v>0</v>
          </cell>
          <cell r="AB107">
            <v>0.26540000000000002</v>
          </cell>
          <cell r="AC107">
            <v>653967</v>
          </cell>
          <cell r="AD107">
            <v>621820</v>
          </cell>
          <cell r="AE107">
            <v>621820</v>
          </cell>
          <cell r="AF107">
            <v>676.2</v>
          </cell>
          <cell r="AG107">
            <v>678.5</v>
          </cell>
          <cell r="AH107">
            <v>667.5</v>
          </cell>
          <cell r="AI107">
            <v>683.5</v>
          </cell>
          <cell r="AJ107">
            <v>0</v>
          </cell>
          <cell r="AM107">
            <v>0</v>
          </cell>
          <cell r="AN107">
            <v>0</v>
          </cell>
          <cell r="AO107">
            <v>683.5</v>
          </cell>
          <cell r="AQ107">
            <v>0</v>
          </cell>
          <cell r="AT107">
            <v>0</v>
          </cell>
          <cell r="AU107">
            <v>0</v>
          </cell>
          <cell r="AV107">
            <v>5594993</v>
          </cell>
          <cell r="AW107">
            <v>61471</v>
          </cell>
          <cell r="AX107">
            <v>30674</v>
          </cell>
          <cell r="AY107">
            <v>418957</v>
          </cell>
          <cell r="AZ107">
            <v>1</v>
          </cell>
          <cell r="BA107">
            <v>1</v>
          </cell>
          <cell r="BB107">
            <v>39800</v>
          </cell>
          <cell r="BC107">
            <v>40220</v>
          </cell>
          <cell r="BE107">
            <v>5988853</v>
          </cell>
          <cell r="BF107">
            <v>2821</v>
          </cell>
          <cell r="BG107">
            <v>3478</v>
          </cell>
          <cell r="BH107">
            <v>33</v>
          </cell>
          <cell r="BI107">
            <v>84432317</v>
          </cell>
          <cell r="BJ107">
            <v>85563417</v>
          </cell>
          <cell r="BL107">
            <v>99</v>
          </cell>
          <cell r="BM107">
            <v>141</v>
          </cell>
          <cell r="BN107">
            <v>153</v>
          </cell>
          <cell r="BO107">
            <v>50</v>
          </cell>
          <cell r="BP107">
            <v>45</v>
          </cell>
          <cell r="BQ107">
            <v>30</v>
          </cell>
        </row>
        <row r="108">
          <cell r="A108">
            <v>307</v>
          </cell>
          <cell r="B108" t="str">
            <v>307 - Ell-Saline</v>
          </cell>
          <cell r="C108" t="str">
            <v>Saline</v>
          </cell>
          <cell r="D108">
            <v>31932886</v>
          </cell>
          <cell r="E108">
            <v>28492677</v>
          </cell>
          <cell r="F108">
            <v>32784879</v>
          </cell>
          <cell r="G108">
            <v>26988469</v>
          </cell>
          <cell r="H108">
            <v>410.5</v>
          </cell>
          <cell r="I108">
            <v>408.5</v>
          </cell>
          <cell r="J108">
            <v>225</v>
          </cell>
          <cell r="K108">
            <v>4479874</v>
          </cell>
          <cell r="L108">
            <v>418.5</v>
          </cell>
          <cell r="M108">
            <v>413.5</v>
          </cell>
          <cell r="N108">
            <v>410.5</v>
          </cell>
          <cell r="O108">
            <v>423.5</v>
          </cell>
          <cell r="P108">
            <v>414800</v>
          </cell>
          <cell r="Q108">
            <v>462705</v>
          </cell>
          <cell r="R108">
            <v>771680</v>
          </cell>
          <cell r="S108">
            <v>410156</v>
          </cell>
          <cell r="T108">
            <v>0</v>
          </cell>
          <cell r="U108">
            <v>0</v>
          </cell>
          <cell r="V108">
            <v>0.08</v>
          </cell>
          <cell r="W108">
            <v>0.55000000000000004</v>
          </cell>
          <cell r="X108">
            <v>153</v>
          </cell>
          <cell r="Y108">
            <v>42</v>
          </cell>
          <cell r="Z108">
            <v>0.54</v>
          </cell>
          <cell r="AA108">
            <v>0</v>
          </cell>
          <cell r="AB108">
            <v>0.51839999999999997</v>
          </cell>
          <cell r="AC108">
            <v>389779</v>
          </cell>
          <cell r="AD108">
            <v>369054</v>
          </cell>
          <cell r="AE108">
            <v>369054</v>
          </cell>
          <cell r="AF108">
            <v>418.5</v>
          </cell>
          <cell r="AG108">
            <v>413.5</v>
          </cell>
          <cell r="AH108">
            <v>410.5</v>
          </cell>
          <cell r="AI108">
            <v>423.5</v>
          </cell>
          <cell r="AJ108">
            <v>0</v>
          </cell>
          <cell r="AM108">
            <v>0</v>
          </cell>
          <cell r="AN108">
            <v>1</v>
          </cell>
          <cell r="AO108">
            <v>422.5</v>
          </cell>
          <cell r="AQ108">
            <v>0</v>
          </cell>
          <cell r="AT108">
            <v>0</v>
          </cell>
          <cell r="AU108">
            <v>0</v>
          </cell>
          <cell r="AV108">
            <v>3683075</v>
          </cell>
          <cell r="AW108">
            <v>123790</v>
          </cell>
          <cell r="AX108">
            <v>143125</v>
          </cell>
          <cell r="AY108">
            <v>714514</v>
          </cell>
          <cell r="AZ108">
            <v>1</v>
          </cell>
          <cell r="BA108">
            <v>1</v>
          </cell>
          <cell r="BB108">
            <v>0</v>
          </cell>
          <cell r="BC108">
            <v>0</v>
          </cell>
          <cell r="BE108">
            <v>4017169</v>
          </cell>
          <cell r="BF108">
            <v>478</v>
          </cell>
          <cell r="BG108">
            <v>970</v>
          </cell>
          <cell r="BH108">
            <v>33</v>
          </cell>
          <cell r="BI108">
            <v>31932886</v>
          </cell>
          <cell r="BJ108">
            <v>32784879</v>
          </cell>
          <cell r="BL108">
            <v>92</v>
          </cell>
          <cell r="BM108">
            <v>143</v>
          </cell>
          <cell r="BN108">
            <v>131</v>
          </cell>
          <cell r="BO108">
            <v>59</v>
          </cell>
          <cell r="BP108">
            <v>40</v>
          </cell>
          <cell r="BQ108">
            <v>52</v>
          </cell>
        </row>
        <row r="109">
          <cell r="A109">
            <v>308</v>
          </cell>
          <cell r="B109" t="str">
            <v>308 - Hutchinson Public Schools</v>
          </cell>
          <cell r="C109" t="str">
            <v>Reno</v>
          </cell>
          <cell r="D109">
            <v>250721665</v>
          </cell>
          <cell r="E109">
            <v>192717663</v>
          </cell>
          <cell r="F109">
            <v>262854300</v>
          </cell>
          <cell r="G109">
            <v>169500061</v>
          </cell>
          <cell r="H109">
            <v>3821.4</v>
          </cell>
          <cell r="I109">
            <v>3734.2</v>
          </cell>
          <cell r="J109">
            <v>14</v>
          </cell>
          <cell r="K109">
            <v>36986473</v>
          </cell>
          <cell r="L109">
            <v>4068.5</v>
          </cell>
          <cell r="M109">
            <v>4057.6</v>
          </cell>
          <cell r="N109">
            <v>4032.4</v>
          </cell>
          <cell r="O109">
            <v>3944.3</v>
          </cell>
          <cell r="P109">
            <v>5470473</v>
          </cell>
          <cell r="Q109">
            <v>6281148</v>
          </cell>
          <cell r="R109">
            <v>7308785</v>
          </cell>
          <cell r="S109">
            <v>3778404</v>
          </cell>
          <cell r="T109">
            <v>0</v>
          </cell>
          <cell r="U109">
            <v>0</v>
          </cell>
          <cell r="V109">
            <v>0.15</v>
          </cell>
          <cell r="W109">
            <v>0.66</v>
          </cell>
          <cell r="X109">
            <v>2327</v>
          </cell>
          <cell r="Y109">
            <v>429</v>
          </cell>
          <cell r="Z109">
            <v>0.65</v>
          </cell>
          <cell r="AA109">
            <v>0.1</v>
          </cell>
          <cell r="AB109">
            <v>0.61499999999999999</v>
          </cell>
          <cell r="AC109">
            <v>5077152</v>
          </cell>
          <cell r="AD109">
            <v>4690221</v>
          </cell>
          <cell r="AE109">
            <v>4690221</v>
          </cell>
          <cell r="AF109">
            <v>3937.6</v>
          </cell>
          <cell r="AG109">
            <v>3917.4</v>
          </cell>
          <cell r="AH109">
            <v>3833.7</v>
          </cell>
          <cell r="AI109">
            <v>3736</v>
          </cell>
          <cell r="AJ109">
            <v>0</v>
          </cell>
          <cell r="AM109">
            <v>6</v>
          </cell>
          <cell r="AN109">
            <v>0</v>
          </cell>
          <cell r="AO109">
            <v>3642</v>
          </cell>
          <cell r="AQ109">
            <v>0</v>
          </cell>
          <cell r="AT109">
            <v>0</v>
          </cell>
          <cell r="AU109">
            <v>0</v>
          </cell>
          <cell r="AV109">
            <v>29514771</v>
          </cell>
          <cell r="AW109">
            <v>1291859</v>
          </cell>
          <cell r="AX109">
            <v>1157549</v>
          </cell>
          <cell r="AY109">
            <v>6806431</v>
          </cell>
          <cell r="AZ109">
            <v>1</v>
          </cell>
          <cell r="BA109">
            <v>1</v>
          </cell>
          <cell r="BB109">
            <v>213510</v>
          </cell>
          <cell r="BC109">
            <v>229180</v>
          </cell>
          <cell r="BE109">
            <v>30705200</v>
          </cell>
          <cell r="BF109">
            <v>18331</v>
          </cell>
          <cell r="BG109">
            <v>9686</v>
          </cell>
          <cell r="BH109">
            <v>32.9</v>
          </cell>
          <cell r="BI109">
            <v>248729131</v>
          </cell>
          <cell r="BJ109">
            <v>261357832</v>
          </cell>
          <cell r="BL109">
            <v>2312</v>
          </cell>
          <cell r="BM109">
            <v>2346</v>
          </cell>
          <cell r="BN109">
            <v>2333</v>
          </cell>
          <cell r="BO109">
            <v>505</v>
          </cell>
          <cell r="BP109">
            <v>401</v>
          </cell>
          <cell r="BQ109">
            <v>441</v>
          </cell>
        </row>
        <row r="110">
          <cell r="A110">
            <v>309</v>
          </cell>
          <cell r="B110" t="str">
            <v>309 - Nickerson</v>
          </cell>
          <cell r="C110" t="str">
            <v>Reno</v>
          </cell>
          <cell r="D110">
            <v>93291216</v>
          </cell>
          <cell r="E110">
            <v>79527445</v>
          </cell>
          <cell r="F110">
            <v>96809633</v>
          </cell>
          <cell r="G110">
            <v>73975478</v>
          </cell>
          <cell r="H110">
            <v>927</v>
          </cell>
          <cell r="I110">
            <v>891.8</v>
          </cell>
          <cell r="J110">
            <v>187.5</v>
          </cell>
          <cell r="K110">
            <v>9783166</v>
          </cell>
          <cell r="L110">
            <v>1061.3</v>
          </cell>
          <cell r="M110">
            <v>1018.8</v>
          </cell>
          <cell r="N110">
            <v>987.4</v>
          </cell>
          <cell r="O110">
            <v>960.8</v>
          </cell>
          <cell r="P110">
            <v>1258979</v>
          </cell>
          <cell r="Q110">
            <v>1241145</v>
          </cell>
          <cell r="R110">
            <v>1330339</v>
          </cell>
          <cell r="S110">
            <v>1185157</v>
          </cell>
          <cell r="T110">
            <v>9434</v>
          </cell>
          <cell r="U110">
            <v>3517</v>
          </cell>
          <cell r="V110">
            <v>0</v>
          </cell>
          <cell r="W110">
            <v>0.32</v>
          </cell>
          <cell r="X110">
            <v>416</v>
          </cell>
          <cell r="Y110">
            <v>86</v>
          </cell>
          <cell r="Z110">
            <v>0.32</v>
          </cell>
          <cell r="AA110">
            <v>0</v>
          </cell>
          <cell r="AB110">
            <v>0.41930000000000001</v>
          </cell>
          <cell r="AC110">
            <v>1095521</v>
          </cell>
          <cell r="AD110">
            <v>1036927</v>
          </cell>
          <cell r="AE110">
            <v>1036927</v>
          </cell>
          <cell r="AF110">
            <v>965.2</v>
          </cell>
          <cell r="AG110">
            <v>930</v>
          </cell>
          <cell r="AH110">
            <v>903.3</v>
          </cell>
          <cell r="AI110">
            <v>864.5</v>
          </cell>
          <cell r="AJ110">
            <v>0</v>
          </cell>
          <cell r="AM110">
            <v>0</v>
          </cell>
          <cell r="AN110">
            <v>0</v>
          </cell>
          <cell r="AO110">
            <v>850.5</v>
          </cell>
          <cell r="AQ110">
            <v>0</v>
          </cell>
          <cell r="AT110">
            <v>0</v>
          </cell>
          <cell r="AU110">
            <v>0</v>
          </cell>
          <cell r="AV110">
            <v>8206539</v>
          </cell>
          <cell r="AW110">
            <v>287122</v>
          </cell>
          <cell r="AX110">
            <v>283605</v>
          </cell>
          <cell r="AY110">
            <v>1322222</v>
          </cell>
          <cell r="AZ110">
            <v>1</v>
          </cell>
          <cell r="BA110">
            <v>1</v>
          </cell>
          <cell r="BB110">
            <v>0</v>
          </cell>
          <cell r="BC110">
            <v>0</v>
          </cell>
          <cell r="BE110">
            <v>8541863</v>
          </cell>
          <cell r="BF110">
            <v>5348</v>
          </cell>
          <cell r="BG110">
            <v>3470</v>
          </cell>
          <cell r="BH110">
            <v>33</v>
          </cell>
          <cell r="BI110">
            <v>94495368</v>
          </cell>
          <cell r="BJ110">
            <v>95920596</v>
          </cell>
          <cell r="BL110">
            <v>433</v>
          </cell>
          <cell r="BM110">
            <v>484</v>
          </cell>
          <cell r="BN110">
            <v>402</v>
          </cell>
          <cell r="BO110">
            <v>52</v>
          </cell>
          <cell r="BP110">
            <v>107</v>
          </cell>
          <cell r="BQ110">
            <v>107</v>
          </cell>
        </row>
        <row r="111">
          <cell r="A111">
            <v>310</v>
          </cell>
          <cell r="B111" t="str">
            <v>310 - Fairfield</v>
          </cell>
          <cell r="C111" t="str">
            <v>Reno</v>
          </cell>
          <cell r="D111">
            <v>47667548</v>
          </cell>
          <cell r="E111">
            <v>42795158</v>
          </cell>
          <cell r="F111">
            <v>46931371</v>
          </cell>
          <cell r="G111">
            <v>39559582</v>
          </cell>
          <cell r="H111">
            <v>256.5</v>
          </cell>
          <cell r="I111">
            <v>242.5</v>
          </cell>
          <cell r="J111">
            <v>435.5</v>
          </cell>
          <cell r="K111">
            <v>3220346</v>
          </cell>
          <cell r="L111">
            <v>267.60000000000002</v>
          </cell>
          <cell r="M111">
            <v>268.5</v>
          </cell>
          <cell r="N111">
            <v>256</v>
          </cell>
          <cell r="O111">
            <v>247.2</v>
          </cell>
          <cell r="P111">
            <v>347261</v>
          </cell>
          <cell r="Q111">
            <v>306134</v>
          </cell>
          <cell r="R111">
            <v>0</v>
          </cell>
          <cell r="S111">
            <v>385012</v>
          </cell>
          <cell r="T111">
            <v>6572</v>
          </cell>
          <cell r="U111">
            <v>7846</v>
          </cell>
          <cell r="V111">
            <v>0</v>
          </cell>
          <cell r="W111">
            <v>0</v>
          </cell>
          <cell r="X111">
            <v>116</v>
          </cell>
          <cell r="Y111">
            <v>21</v>
          </cell>
          <cell r="Z111">
            <v>0</v>
          </cell>
          <cell r="AA111">
            <v>0</v>
          </cell>
          <cell r="AB111">
            <v>0</v>
          </cell>
          <cell r="AC111">
            <v>339802</v>
          </cell>
          <cell r="AD111">
            <v>258122</v>
          </cell>
          <cell r="AE111">
            <v>258122</v>
          </cell>
          <cell r="AF111">
            <v>267.60000000000002</v>
          </cell>
          <cell r="AG111">
            <v>268.5</v>
          </cell>
          <cell r="AH111">
            <v>256</v>
          </cell>
          <cell r="AI111">
            <v>247.2</v>
          </cell>
          <cell r="AJ111">
            <v>0</v>
          </cell>
          <cell r="AM111">
            <v>0</v>
          </cell>
          <cell r="AN111">
            <v>0</v>
          </cell>
          <cell r="AO111">
            <v>238.2</v>
          </cell>
          <cell r="AQ111">
            <v>0</v>
          </cell>
          <cell r="AT111">
            <v>0</v>
          </cell>
          <cell r="AU111">
            <v>0</v>
          </cell>
          <cell r="AV111">
            <v>2840223</v>
          </cell>
          <cell r="AW111">
            <v>0</v>
          </cell>
          <cell r="AX111">
            <v>0</v>
          </cell>
          <cell r="AY111">
            <v>0</v>
          </cell>
          <cell r="AZ111">
            <v>1</v>
          </cell>
          <cell r="BA111">
            <v>1</v>
          </cell>
          <cell r="BB111">
            <v>0</v>
          </cell>
          <cell r="BC111">
            <v>0</v>
          </cell>
          <cell r="BE111">
            <v>2913492</v>
          </cell>
          <cell r="BF111">
            <v>323</v>
          </cell>
          <cell r="BG111">
            <v>98</v>
          </cell>
          <cell r="BH111">
            <v>33</v>
          </cell>
          <cell r="BI111">
            <v>47667548</v>
          </cell>
          <cell r="BJ111">
            <v>46931371</v>
          </cell>
          <cell r="BL111">
            <v>121</v>
          </cell>
          <cell r="BM111">
            <v>141</v>
          </cell>
          <cell r="BN111">
            <v>123</v>
          </cell>
          <cell r="BO111">
            <v>19</v>
          </cell>
          <cell r="BP111">
            <v>25</v>
          </cell>
          <cell r="BQ111">
            <v>14</v>
          </cell>
        </row>
        <row r="112">
          <cell r="A112">
            <v>311</v>
          </cell>
          <cell r="B112" t="str">
            <v>311 - Pretty Prairie</v>
          </cell>
          <cell r="C112" t="str">
            <v>Reno</v>
          </cell>
          <cell r="D112">
            <v>23136471</v>
          </cell>
          <cell r="E112">
            <v>19911391</v>
          </cell>
          <cell r="F112">
            <v>23290463</v>
          </cell>
          <cell r="G112">
            <v>17883944</v>
          </cell>
          <cell r="H112">
            <v>284.89999999999998</v>
          </cell>
          <cell r="I112">
            <v>269.89999999999998</v>
          </cell>
          <cell r="J112">
            <v>208</v>
          </cell>
          <cell r="K112">
            <v>3031143</v>
          </cell>
          <cell r="L112">
            <v>304.10000000000002</v>
          </cell>
          <cell r="M112">
            <v>293.39999999999998</v>
          </cell>
          <cell r="N112">
            <v>285.89999999999998</v>
          </cell>
          <cell r="O112">
            <v>263.89999999999998</v>
          </cell>
          <cell r="P112">
            <v>328056</v>
          </cell>
          <cell r="Q112">
            <v>320136</v>
          </cell>
          <cell r="R112">
            <v>521014</v>
          </cell>
          <cell r="S112">
            <v>255358</v>
          </cell>
          <cell r="T112">
            <v>0</v>
          </cell>
          <cell r="U112">
            <v>0</v>
          </cell>
          <cell r="V112">
            <v>0</v>
          </cell>
          <cell r="W112">
            <v>0.44</v>
          </cell>
          <cell r="X112">
            <v>101</v>
          </cell>
          <cell r="Y112">
            <v>19</v>
          </cell>
          <cell r="Z112">
            <v>0.43</v>
          </cell>
          <cell r="AA112">
            <v>0</v>
          </cell>
          <cell r="AB112">
            <v>0.49070000000000003</v>
          </cell>
          <cell r="AC112">
            <v>299157</v>
          </cell>
          <cell r="AD112">
            <v>261546</v>
          </cell>
          <cell r="AE112">
            <v>261546</v>
          </cell>
          <cell r="AF112">
            <v>304.10000000000002</v>
          </cell>
          <cell r="AG112">
            <v>293.39999999999998</v>
          </cell>
          <cell r="AH112">
            <v>282.89999999999998</v>
          </cell>
          <cell r="AI112">
            <v>262.89999999999998</v>
          </cell>
          <cell r="AJ112">
            <v>0</v>
          </cell>
          <cell r="AM112">
            <v>5</v>
          </cell>
          <cell r="AN112">
            <v>0</v>
          </cell>
          <cell r="AO112">
            <v>254.4</v>
          </cell>
          <cell r="AQ112">
            <v>0</v>
          </cell>
          <cell r="AT112">
            <v>0</v>
          </cell>
          <cell r="AU112">
            <v>0</v>
          </cell>
          <cell r="AV112">
            <v>2808934</v>
          </cell>
          <cell r="AW112">
            <v>91979</v>
          </cell>
          <cell r="AX112">
            <v>96762</v>
          </cell>
          <cell r="AY112">
            <v>518741</v>
          </cell>
          <cell r="AZ112">
            <v>1</v>
          </cell>
          <cell r="BA112">
            <v>1</v>
          </cell>
          <cell r="BB112">
            <v>0</v>
          </cell>
          <cell r="BC112">
            <v>0</v>
          </cell>
          <cell r="BE112">
            <v>2710949</v>
          </cell>
          <cell r="BF112">
            <v>1014</v>
          </cell>
          <cell r="BG112">
            <v>328</v>
          </cell>
          <cell r="BH112">
            <v>33</v>
          </cell>
          <cell r="BI112">
            <v>23136471</v>
          </cell>
          <cell r="BJ112">
            <v>23274556</v>
          </cell>
          <cell r="BL112">
            <v>80</v>
          </cell>
          <cell r="BM112">
            <v>107</v>
          </cell>
          <cell r="BN112">
            <v>119</v>
          </cell>
          <cell r="BO112">
            <v>62</v>
          </cell>
          <cell r="BP112">
            <v>25</v>
          </cell>
          <cell r="BQ112">
            <v>31</v>
          </cell>
        </row>
        <row r="113">
          <cell r="A113">
            <v>312</v>
          </cell>
          <cell r="B113" t="str">
            <v>312 - Haven Public Schools</v>
          </cell>
          <cell r="C113" t="str">
            <v>Reno</v>
          </cell>
          <cell r="D113">
            <v>104086815</v>
          </cell>
          <cell r="E113">
            <v>93424994</v>
          </cell>
          <cell r="F113">
            <v>107362964</v>
          </cell>
          <cell r="G113">
            <v>89373246</v>
          </cell>
          <cell r="H113">
            <v>724.7</v>
          </cell>
          <cell r="I113">
            <v>724.5</v>
          </cell>
          <cell r="J113">
            <v>282</v>
          </cell>
          <cell r="K113">
            <v>7599686</v>
          </cell>
          <cell r="L113">
            <v>784.2</v>
          </cell>
          <cell r="M113">
            <v>765.7</v>
          </cell>
          <cell r="N113">
            <v>766</v>
          </cell>
          <cell r="O113">
            <v>716.2</v>
          </cell>
          <cell r="P113">
            <v>941876</v>
          </cell>
          <cell r="Q113">
            <v>961910</v>
          </cell>
          <cell r="R113">
            <v>375629</v>
          </cell>
          <cell r="S113">
            <v>984291</v>
          </cell>
          <cell r="T113">
            <v>0</v>
          </cell>
          <cell r="U113">
            <v>0</v>
          </cell>
          <cell r="V113">
            <v>0</v>
          </cell>
          <cell r="W113">
            <v>0</v>
          </cell>
          <cell r="X113">
            <v>252</v>
          </cell>
          <cell r="Y113">
            <v>71</v>
          </cell>
          <cell r="Z113">
            <v>0</v>
          </cell>
          <cell r="AA113">
            <v>0</v>
          </cell>
          <cell r="AB113">
            <v>0.13189999999999999</v>
          </cell>
          <cell r="AC113">
            <v>811688</v>
          </cell>
          <cell r="AD113">
            <v>790981</v>
          </cell>
          <cell r="AE113">
            <v>790981</v>
          </cell>
          <cell r="AF113">
            <v>738.5</v>
          </cell>
          <cell r="AG113">
            <v>734.7</v>
          </cell>
          <cell r="AH113">
            <v>742</v>
          </cell>
          <cell r="AI113">
            <v>711.2</v>
          </cell>
          <cell r="AJ113">
            <v>0</v>
          </cell>
          <cell r="AM113">
            <v>4</v>
          </cell>
          <cell r="AN113">
            <v>0</v>
          </cell>
          <cell r="AO113">
            <v>694.7</v>
          </cell>
          <cell r="AQ113">
            <v>0</v>
          </cell>
          <cell r="AT113">
            <v>0</v>
          </cell>
          <cell r="AU113">
            <v>0</v>
          </cell>
          <cell r="AV113">
            <v>6497255</v>
          </cell>
          <cell r="AW113">
            <v>0</v>
          </cell>
          <cell r="AX113">
            <v>0</v>
          </cell>
          <cell r="AY113">
            <v>427654</v>
          </cell>
          <cell r="AZ113">
            <v>1</v>
          </cell>
          <cell r="BA113">
            <v>1</v>
          </cell>
          <cell r="BB113">
            <v>0</v>
          </cell>
          <cell r="BC113">
            <v>0</v>
          </cell>
          <cell r="BE113">
            <v>6637333</v>
          </cell>
          <cell r="BF113">
            <v>6754</v>
          </cell>
          <cell r="BG113">
            <v>6510</v>
          </cell>
          <cell r="BH113">
            <v>33</v>
          </cell>
          <cell r="BI113">
            <v>103680283</v>
          </cell>
          <cell r="BJ113">
            <v>107630240</v>
          </cell>
          <cell r="BL113">
            <v>153</v>
          </cell>
          <cell r="BM113">
            <v>291</v>
          </cell>
          <cell r="BN113">
            <v>289</v>
          </cell>
          <cell r="BO113">
            <v>116</v>
          </cell>
          <cell r="BP113">
            <v>78</v>
          </cell>
          <cell r="BQ113">
            <v>72</v>
          </cell>
        </row>
        <row r="114">
          <cell r="A114">
            <v>313</v>
          </cell>
          <cell r="B114" t="str">
            <v>313 - Buhler</v>
          </cell>
          <cell r="C114" t="str">
            <v>Reno</v>
          </cell>
          <cell r="D114">
            <v>201327021</v>
          </cell>
          <cell r="E114">
            <v>178549463</v>
          </cell>
          <cell r="F114">
            <v>209100527</v>
          </cell>
          <cell r="G114">
            <v>169311588</v>
          </cell>
          <cell r="H114">
            <v>2226.5</v>
          </cell>
          <cell r="I114">
            <v>2198.1</v>
          </cell>
          <cell r="J114">
            <v>137.69999999999999</v>
          </cell>
          <cell r="K114">
            <v>19000599</v>
          </cell>
          <cell r="L114">
            <v>2251.5</v>
          </cell>
          <cell r="M114">
            <v>2405</v>
          </cell>
          <cell r="N114">
            <v>2404.1999999999998</v>
          </cell>
          <cell r="O114">
            <v>2337.6999999999998</v>
          </cell>
          <cell r="P114">
            <v>2720262</v>
          </cell>
          <cell r="Q114">
            <v>2737466</v>
          </cell>
          <cell r="R114">
            <v>2926265</v>
          </cell>
          <cell r="S114">
            <v>2427444</v>
          </cell>
          <cell r="T114">
            <v>0</v>
          </cell>
          <cell r="U114">
            <v>0</v>
          </cell>
          <cell r="V114">
            <v>0</v>
          </cell>
          <cell r="W114">
            <v>0.43</v>
          </cell>
          <cell r="X114">
            <v>693</v>
          </cell>
          <cell r="Y114">
            <v>223</v>
          </cell>
          <cell r="Z114">
            <v>0.42</v>
          </cell>
          <cell r="AA114">
            <v>0</v>
          </cell>
          <cell r="AB114">
            <v>0.47899999999999998</v>
          </cell>
          <cell r="AC114">
            <v>1754514</v>
          </cell>
          <cell r="AD114">
            <v>1727703</v>
          </cell>
          <cell r="AE114">
            <v>1727703</v>
          </cell>
          <cell r="AF114">
            <v>2204.8000000000002</v>
          </cell>
          <cell r="AG114">
            <v>2247</v>
          </cell>
          <cell r="AH114">
            <v>2226.6</v>
          </cell>
          <cell r="AI114">
            <v>2183</v>
          </cell>
          <cell r="AJ114">
            <v>0</v>
          </cell>
          <cell r="AM114">
            <v>8</v>
          </cell>
          <cell r="AN114">
            <v>0</v>
          </cell>
          <cell r="AO114">
            <v>2142</v>
          </cell>
          <cell r="AQ114">
            <v>0</v>
          </cell>
          <cell r="AT114">
            <v>0</v>
          </cell>
          <cell r="AU114">
            <v>0</v>
          </cell>
          <cell r="AV114">
            <v>15618673</v>
          </cell>
          <cell r="AW114">
            <v>771008</v>
          </cell>
          <cell r="AX114">
            <v>816086</v>
          </cell>
          <cell r="AY114">
            <v>2708702</v>
          </cell>
          <cell r="AZ114">
            <v>1</v>
          </cell>
          <cell r="BA114">
            <v>1</v>
          </cell>
          <cell r="BB114">
            <v>0</v>
          </cell>
          <cell r="BC114">
            <v>0</v>
          </cell>
          <cell r="BE114">
            <v>16263001</v>
          </cell>
          <cell r="BF114">
            <v>9839</v>
          </cell>
          <cell r="BG114">
            <v>3766</v>
          </cell>
          <cell r="BH114">
            <v>33</v>
          </cell>
          <cell r="BI114">
            <v>200828224</v>
          </cell>
          <cell r="BJ114">
            <v>208211258</v>
          </cell>
          <cell r="BL114">
            <v>500</v>
          </cell>
          <cell r="BM114">
            <v>623</v>
          </cell>
          <cell r="BN114">
            <v>678</v>
          </cell>
          <cell r="BO114">
            <v>265</v>
          </cell>
          <cell r="BP114">
            <v>191</v>
          </cell>
          <cell r="BQ114">
            <v>206</v>
          </cell>
        </row>
        <row r="115">
          <cell r="A115">
            <v>314</v>
          </cell>
          <cell r="B115" t="str">
            <v>314 - Brewster</v>
          </cell>
          <cell r="C115" t="str">
            <v>Thomas</v>
          </cell>
          <cell r="D115">
            <v>24087471</v>
          </cell>
          <cell r="E115">
            <v>22862950</v>
          </cell>
          <cell r="F115">
            <v>21955818</v>
          </cell>
          <cell r="G115">
            <v>19982199</v>
          </cell>
          <cell r="H115">
            <v>114.5</v>
          </cell>
          <cell r="I115">
            <v>96.9</v>
          </cell>
          <cell r="J115">
            <v>372.8</v>
          </cell>
          <cell r="K115">
            <v>1528368</v>
          </cell>
          <cell r="L115">
            <v>127.6</v>
          </cell>
          <cell r="M115">
            <v>121.5</v>
          </cell>
          <cell r="N115">
            <v>102.9</v>
          </cell>
          <cell r="O115">
            <v>113.5</v>
          </cell>
          <cell r="P115">
            <v>113465</v>
          </cell>
          <cell r="Q115">
            <v>196568</v>
          </cell>
          <cell r="R115">
            <v>0</v>
          </cell>
          <cell r="S115">
            <v>117129</v>
          </cell>
          <cell r="T115">
            <v>3935</v>
          </cell>
          <cell r="U115">
            <v>4689</v>
          </cell>
          <cell r="V115">
            <v>0</v>
          </cell>
          <cell r="W115">
            <v>0</v>
          </cell>
          <cell r="X115">
            <v>28</v>
          </cell>
          <cell r="Y115">
            <v>3</v>
          </cell>
          <cell r="Z115">
            <v>0</v>
          </cell>
          <cell r="AA115">
            <v>0</v>
          </cell>
          <cell r="AB115">
            <v>0</v>
          </cell>
          <cell r="AC115">
            <v>136980</v>
          </cell>
          <cell r="AD115">
            <v>114724</v>
          </cell>
          <cell r="AE115">
            <v>114724</v>
          </cell>
          <cell r="AF115">
            <v>114.6</v>
          </cell>
          <cell r="AG115">
            <v>117.5</v>
          </cell>
          <cell r="AH115">
            <v>97.9</v>
          </cell>
          <cell r="AI115">
            <v>106.5</v>
          </cell>
          <cell r="AJ115">
            <v>0</v>
          </cell>
          <cell r="AM115">
            <v>1</v>
          </cell>
          <cell r="AN115">
            <v>0</v>
          </cell>
          <cell r="AO115">
            <v>105</v>
          </cell>
          <cell r="AQ115">
            <v>0</v>
          </cell>
          <cell r="AT115">
            <v>0</v>
          </cell>
          <cell r="AU115">
            <v>0</v>
          </cell>
          <cell r="AV115">
            <v>1323097</v>
          </cell>
          <cell r="AW115">
            <v>0</v>
          </cell>
          <cell r="AX115">
            <v>0</v>
          </cell>
          <cell r="AY115">
            <v>0</v>
          </cell>
          <cell r="AZ115">
            <v>1</v>
          </cell>
          <cell r="BA115">
            <v>1</v>
          </cell>
          <cell r="BB115">
            <v>0</v>
          </cell>
          <cell r="BC115">
            <v>0</v>
          </cell>
          <cell r="BE115">
            <v>1327141</v>
          </cell>
          <cell r="BF115">
            <v>1500</v>
          </cell>
          <cell r="BG115">
            <v>78</v>
          </cell>
          <cell r="BH115">
            <v>33</v>
          </cell>
          <cell r="BI115">
            <v>24087471</v>
          </cell>
          <cell r="BJ115">
            <v>21659564</v>
          </cell>
          <cell r="BL115">
            <v>31</v>
          </cell>
          <cell r="BM115">
            <v>45</v>
          </cell>
          <cell r="BN115">
            <v>32</v>
          </cell>
          <cell r="BO115">
            <v>31</v>
          </cell>
          <cell r="BP115">
            <v>2</v>
          </cell>
          <cell r="BQ115">
            <v>5</v>
          </cell>
        </row>
        <row r="116">
          <cell r="A116">
            <v>315</v>
          </cell>
          <cell r="B116" t="str">
            <v>315 - Colby Public Schools</v>
          </cell>
          <cell r="C116" t="str">
            <v>Thomas</v>
          </cell>
          <cell r="D116">
            <v>108558159</v>
          </cell>
          <cell r="E116">
            <v>96915432</v>
          </cell>
          <cell r="F116">
            <v>110645992</v>
          </cell>
          <cell r="G116">
            <v>90734474</v>
          </cell>
          <cell r="H116">
            <v>926.5</v>
          </cell>
          <cell r="I116">
            <v>908.1</v>
          </cell>
          <cell r="J116">
            <v>463</v>
          </cell>
          <cell r="K116">
            <v>8172402</v>
          </cell>
          <cell r="L116">
            <v>951</v>
          </cell>
          <cell r="M116">
            <v>940.5</v>
          </cell>
          <cell r="N116">
            <v>917.1</v>
          </cell>
          <cell r="O116">
            <v>933.6</v>
          </cell>
          <cell r="P116">
            <v>656710</v>
          </cell>
          <cell r="Q116">
            <v>687469</v>
          </cell>
          <cell r="R116">
            <v>851708</v>
          </cell>
          <cell r="S116">
            <v>1046262</v>
          </cell>
          <cell r="T116">
            <v>6079</v>
          </cell>
          <cell r="U116">
            <v>18590</v>
          </cell>
          <cell r="V116">
            <v>0</v>
          </cell>
          <cell r="W116">
            <v>0.19</v>
          </cell>
          <cell r="X116">
            <v>278</v>
          </cell>
          <cell r="Y116">
            <v>59</v>
          </cell>
          <cell r="Z116">
            <v>0.18</v>
          </cell>
          <cell r="AA116">
            <v>0</v>
          </cell>
          <cell r="AB116">
            <v>0.29549999999999998</v>
          </cell>
          <cell r="AC116">
            <v>835513</v>
          </cell>
          <cell r="AD116">
            <v>832874</v>
          </cell>
          <cell r="AE116">
            <v>832874</v>
          </cell>
          <cell r="AF116">
            <v>951</v>
          </cell>
          <cell r="AG116">
            <v>940.5</v>
          </cell>
          <cell r="AH116">
            <v>917.1</v>
          </cell>
          <cell r="AI116">
            <v>933.6</v>
          </cell>
          <cell r="AJ116">
            <v>0</v>
          </cell>
          <cell r="AM116">
            <v>0</v>
          </cell>
          <cell r="AN116">
            <v>0</v>
          </cell>
          <cell r="AO116">
            <v>921.1</v>
          </cell>
          <cell r="AQ116">
            <v>0</v>
          </cell>
          <cell r="AT116">
            <v>0</v>
          </cell>
          <cell r="AU116">
            <v>0</v>
          </cell>
          <cell r="AV116">
            <v>7194979</v>
          </cell>
          <cell r="AW116">
            <v>156324</v>
          </cell>
          <cell r="AX116">
            <v>118162</v>
          </cell>
          <cell r="AY116">
            <v>778808</v>
          </cell>
          <cell r="AZ116">
            <v>1</v>
          </cell>
          <cell r="BA116">
            <v>1</v>
          </cell>
          <cell r="BB116">
            <v>0</v>
          </cell>
          <cell r="BC116">
            <v>0</v>
          </cell>
          <cell r="BE116">
            <v>7482718</v>
          </cell>
          <cell r="BF116">
            <v>8097</v>
          </cell>
          <cell r="BG116">
            <v>9844</v>
          </cell>
          <cell r="BH116">
            <v>33</v>
          </cell>
          <cell r="BI116">
            <v>108558159</v>
          </cell>
          <cell r="BJ116">
            <v>105501683</v>
          </cell>
          <cell r="BL116">
            <v>265</v>
          </cell>
          <cell r="BM116">
            <v>308</v>
          </cell>
          <cell r="BN116">
            <v>274</v>
          </cell>
          <cell r="BO116">
            <v>89</v>
          </cell>
          <cell r="BP116">
            <v>57</v>
          </cell>
          <cell r="BQ116">
            <v>66</v>
          </cell>
        </row>
        <row r="117">
          <cell r="A117">
            <v>316</v>
          </cell>
          <cell r="B117" t="str">
            <v>316 - Golden Plains</v>
          </cell>
          <cell r="C117" t="str">
            <v>Thomas</v>
          </cell>
          <cell r="D117">
            <v>22249909</v>
          </cell>
          <cell r="E117">
            <v>20722877</v>
          </cell>
          <cell r="F117">
            <v>23559015</v>
          </cell>
          <cell r="G117">
            <v>21287549</v>
          </cell>
          <cell r="H117">
            <v>150.5</v>
          </cell>
          <cell r="I117">
            <v>143.5</v>
          </cell>
          <cell r="J117">
            <v>242</v>
          </cell>
          <cell r="K117">
            <v>2078597</v>
          </cell>
          <cell r="L117">
            <v>168</v>
          </cell>
          <cell r="M117">
            <v>153</v>
          </cell>
          <cell r="N117">
            <v>147</v>
          </cell>
          <cell r="O117">
            <v>147</v>
          </cell>
          <cell r="P117">
            <v>166968</v>
          </cell>
          <cell r="Q117">
            <v>211644</v>
          </cell>
          <cell r="R117">
            <v>79003</v>
          </cell>
          <cell r="S117">
            <v>341861</v>
          </cell>
          <cell r="T117">
            <v>0</v>
          </cell>
          <cell r="U117">
            <v>0</v>
          </cell>
          <cell r="V117">
            <v>0</v>
          </cell>
          <cell r="W117">
            <v>0</v>
          </cell>
          <cell r="X117">
            <v>80</v>
          </cell>
          <cell r="Y117">
            <v>31</v>
          </cell>
          <cell r="Z117">
            <v>0</v>
          </cell>
          <cell r="AA117">
            <v>0</v>
          </cell>
          <cell r="AB117">
            <v>9.0200000000000002E-2</v>
          </cell>
          <cell r="AC117">
            <v>249109</v>
          </cell>
          <cell r="AD117">
            <v>217254</v>
          </cell>
          <cell r="AE117">
            <v>217254</v>
          </cell>
          <cell r="AF117">
            <v>168</v>
          </cell>
          <cell r="AG117">
            <v>153</v>
          </cell>
          <cell r="AH117">
            <v>147</v>
          </cell>
          <cell r="AI117">
            <v>147</v>
          </cell>
          <cell r="AJ117">
            <v>0</v>
          </cell>
          <cell r="AM117">
            <v>0</v>
          </cell>
          <cell r="AN117">
            <v>0</v>
          </cell>
          <cell r="AO117">
            <v>145.5</v>
          </cell>
          <cell r="AQ117">
            <v>0</v>
          </cell>
          <cell r="AT117">
            <v>0</v>
          </cell>
          <cell r="AU117">
            <v>0</v>
          </cell>
          <cell r="AV117">
            <v>1951990</v>
          </cell>
          <cell r="AW117">
            <v>0</v>
          </cell>
          <cell r="AX117">
            <v>0</v>
          </cell>
          <cell r="AY117">
            <v>73806</v>
          </cell>
          <cell r="AZ117">
            <v>1</v>
          </cell>
          <cell r="BA117">
            <v>1</v>
          </cell>
          <cell r="BB117">
            <v>0</v>
          </cell>
          <cell r="BC117">
            <v>0</v>
          </cell>
          <cell r="BE117">
            <v>1865328</v>
          </cell>
          <cell r="BF117">
            <v>1382</v>
          </cell>
          <cell r="BG117">
            <v>564</v>
          </cell>
          <cell r="BH117">
            <v>33</v>
          </cell>
          <cell r="BI117">
            <v>22249909</v>
          </cell>
          <cell r="BJ117">
            <v>21725907</v>
          </cell>
          <cell r="BL117">
            <v>73</v>
          </cell>
          <cell r="BM117">
            <v>90</v>
          </cell>
          <cell r="BN117">
            <v>92</v>
          </cell>
          <cell r="BO117">
            <v>19</v>
          </cell>
          <cell r="BP117">
            <v>17</v>
          </cell>
          <cell r="BQ117">
            <v>21</v>
          </cell>
        </row>
        <row r="118">
          <cell r="A118">
            <v>320</v>
          </cell>
          <cell r="B118" t="str">
            <v>320 - Wamego</v>
          </cell>
          <cell r="C118" t="str">
            <v>Pottawatomie</v>
          </cell>
          <cell r="D118">
            <v>123870436</v>
          </cell>
          <cell r="E118">
            <v>109534523</v>
          </cell>
          <cell r="F118">
            <v>127855079</v>
          </cell>
          <cell r="G118">
            <v>102800661</v>
          </cell>
          <cell r="H118">
            <v>1582</v>
          </cell>
          <cell r="I118">
            <v>1589.5</v>
          </cell>
          <cell r="J118">
            <v>193</v>
          </cell>
          <cell r="K118">
            <v>12263195</v>
          </cell>
          <cell r="L118">
            <v>1629.3</v>
          </cell>
          <cell r="M118">
            <v>1594.5</v>
          </cell>
          <cell r="N118">
            <v>1611.1</v>
          </cell>
          <cell r="O118">
            <v>1576.7</v>
          </cell>
          <cell r="P118">
            <v>1531065</v>
          </cell>
          <cell r="Q118">
            <v>1669494</v>
          </cell>
          <cell r="R118">
            <v>2230028</v>
          </cell>
          <cell r="S118">
            <v>1364892</v>
          </cell>
          <cell r="T118">
            <v>0</v>
          </cell>
          <cell r="U118">
            <v>0</v>
          </cell>
          <cell r="V118">
            <v>0.03</v>
          </cell>
          <cell r="W118">
            <v>0.51</v>
          </cell>
          <cell r="X118">
            <v>377</v>
          </cell>
          <cell r="Y118">
            <v>82</v>
          </cell>
          <cell r="Z118">
            <v>0.5</v>
          </cell>
          <cell r="AA118">
            <v>0</v>
          </cell>
          <cell r="AB118">
            <v>0.52590000000000003</v>
          </cell>
          <cell r="AC118">
            <v>1934333</v>
          </cell>
          <cell r="AD118">
            <v>1626102</v>
          </cell>
          <cell r="AE118">
            <v>1626102</v>
          </cell>
          <cell r="AF118">
            <v>1609.3</v>
          </cell>
          <cell r="AG118">
            <v>1582</v>
          </cell>
          <cell r="AH118">
            <v>1589.5</v>
          </cell>
          <cell r="AI118">
            <v>1560.8</v>
          </cell>
          <cell r="AJ118">
            <v>0</v>
          </cell>
          <cell r="AM118">
            <v>46</v>
          </cell>
          <cell r="AN118">
            <v>0</v>
          </cell>
          <cell r="AO118">
            <v>1560.8</v>
          </cell>
          <cell r="AQ118">
            <v>0</v>
          </cell>
          <cell r="AT118">
            <v>0</v>
          </cell>
          <cell r="AU118">
            <v>0</v>
          </cell>
          <cell r="AV118">
            <v>10204290</v>
          </cell>
          <cell r="AW118">
            <v>544659</v>
          </cell>
          <cell r="AX118">
            <v>572504</v>
          </cell>
          <cell r="AY118">
            <v>2041618</v>
          </cell>
          <cell r="AZ118">
            <v>1</v>
          </cell>
          <cell r="BA118">
            <v>1</v>
          </cell>
          <cell r="BB118">
            <v>35080</v>
          </cell>
          <cell r="BC118">
            <v>35000</v>
          </cell>
          <cell r="BE118">
            <v>10593701</v>
          </cell>
          <cell r="BF118">
            <v>17683</v>
          </cell>
          <cell r="BG118">
            <v>15893</v>
          </cell>
          <cell r="BH118">
            <v>33</v>
          </cell>
          <cell r="BI118">
            <v>123870436</v>
          </cell>
          <cell r="BJ118">
            <v>127855079</v>
          </cell>
          <cell r="BL118">
            <v>269</v>
          </cell>
          <cell r="BM118">
            <v>376</v>
          </cell>
          <cell r="BN118">
            <v>402</v>
          </cell>
          <cell r="BO118">
            <v>113</v>
          </cell>
          <cell r="BP118">
            <v>63</v>
          </cell>
          <cell r="BQ118">
            <v>87</v>
          </cell>
        </row>
        <row r="119">
          <cell r="A119">
            <v>321</v>
          </cell>
          <cell r="B119" t="str">
            <v>321 - Kaw Valley</v>
          </cell>
          <cell r="C119" t="str">
            <v>Pottawatomie</v>
          </cell>
          <cell r="D119">
            <v>430463984</v>
          </cell>
          <cell r="E119">
            <v>418682702</v>
          </cell>
          <cell r="F119">
            <v>412796090</v>
          </cell>
          <cell r="G119">
            <v>392308432</v>
          </cell>
          <cell r="H119">
            <v>1014.5</v>
          </cell>
          <cell r="I119">
            <v>1028</v>
          </cell>
          <cell r="J119">
            <v>311</v>
          </cell>
          <cell r="K119">
            <v>10197764</v>
          </cell>
          <cell r="L119">
            <v>1034</v>
          </cell>
          <cell r="M119">
            <v>1030</v>
          </cell>
          <cell r="N119">
            <v>1041</v>
          </cell>
          <cell r="O119">
            <v>1014.9</v>
          </cell>
          <cell r="P119">
            <v>1697225</v>
          </cell>
          <cell r="Q119">
            <v>1961119</v>
          </cell>
          <cell r="R119">
            <v>0</v>
          </cell>
          <cell r="S119">
            <v>1389894</v>
          </cell>
          <cell r="T119">
            <v>16143</v>
          </cell>
          <cell r="U119">
            <v>21639</v>
          </cell>
          <cell r="V119">
            <v>0</v>
          </cell>
          <cell r="W119">
            <v>0</v>
          </cell>
          <cell r="X119">
            <v>299</v>
          </cell>
          <cell r="Y119">
            <v>92</v>
          </cell>
          <cell r="Z119">
            <v>0</v>
          </cell>
          <cell r="AA119">
            <v>0</v>
          </cell>
          <cell r="AB119">
            <v>0</v>
          </cell>
          <cell r="AC119">
            <v>1406669</v>
          </cell>
          <cell r="AD119">
            <v>1355260</v>
          </cell>
          <cell r="AE119">
            <v>1355260</v>
          </cell>
          <cell r="AF119">
            <v>1034</v>
          </cell>
          <cell r="AG119">
            <v>1030</v>
          </cell>
          <cell r="AH119">
            <v>1041</v>
          </cell>
          <cell r="AI119">
            <v>1014.9</v>
          </cell>
          <cell r="AJ119">
            <v>0</v>
          </cell>
          <cell r="AM119">
            <v>7</v>
          </cell>
          <cell r="AN119">
            <v>0</v>
          </cell>
          <cell r="AO119">
            <v>1003.4</v>
          </cell>
          <cell r="AQ119">
            <v>0</v>
          </cell>
          <cell r="AT119">
            <v>0</v>
          </cell>
          <cell r="AU119">
            <v>0</v>
          </cell>
          <cell r="AV119">
            <v>7764312</v>
          </cell>
          <cell r="AW119">
            <v>0</v>
          </cell>
          <cell r="AX119">
            <v>0</v>
          </cell>
          <cell r="AY119">
            <v>0</v>
          </cell>
          <cell r="AZ119">
            <v>1</v>
          </cell>
          <cell r="BA119">
            <v>1</v>
          </cell>
          <cell r="BB119">
            <v>15585</v>
          </cell>
          <cell r="BC119">
            <v>0</v>
          </cell>
          <cell r="BE119">
            <v>8236645</v>
          </cell>
          <cell r="BF119">
            <v>0</v>
          </cell>
          <cell r="BG119">
            <v>0</v>
          </cell>
          <cell r="BH119">
            <v>33</v>
          </cell>
          <cell r="BI119">
            <v>430463984</v>
          </cell>
          <cell r="BJ119">
            <v>412796090</v>
          </cell>
          <cell r="BL119">
            <v>383</v>
          </cell>
          <cell r="BM119">
            <v>332</v>
          </cell>
          <cell r="BN119">
            <v>331</v>
          </cell>
          <cell r="BO119">
            <v>132</v>
          </cell>
          <cell r="BP119">
            <v>87</v>
          </cell>
          <cell r="BQ119">
            <v>71</v>
          </cell>
        </row>
        <row r="120">
          <cell r="A120">
            <v>322</v>
          </cell>
          <cell r="B120" t="str">
            <v>322 - Onaga-Havensville-Wheaton</v>
          </cell>
          <cell r="C120" t="str">
            <v>Pottawatomie</v>
          </cell>
          <cell r="D120">
            <v>35412647</v>
          </cell>
          <cell r="E120">
            <v>31498214</v>
          </cell>
          <cell r="F120">
            <v>35664300</v>
          </cell>
          <cell r="G120">
            <v>29490066</v>
          </cell>
          <cell r="H120">
            <v>299.3</v>
          </cell>
          <cell r="I120">
            <v>311</v>
          </cell>
          <cell r="J120">
            <v>256.39999999999998</v>
          </cell>
          <cell r="K120">
            <v>3297790</v>
          </cell>
          <cell r="L120">
            <v>306</v>
          </cell>
          <cell r="M120">
            <v>311.60000000000002</v>
          </cell>
          <cell r="N120">
            <v>317</v>
          </cell>
          <cell r="O120">
            <v>300.5</v>
          </cell>
          <cell r="P120">
            <v>191629</v>
          </cell>
          <cell r="Q120">
            <v>223914</v>
          </cell>
          <cell r="R120">
            <v>331995</v>
          </cell>
          <cell r="S120">
            <v>278544</v>
          </cell>
          <cell r="T120">
            <v>10573</v>
          </cell>
          <cell r="U120">
            <v>11554</v>
          </cell>
          <cell r="V120">
            <v>0</v>
          </cell>
          <cell r="W120">
            <v>0.14000000000000001</v>
          </cell>
          <cell r="X120">
            <v>105</v>
          </cell>
          <cell r="Y120">
            <v>46</v>
          </cell>
          <cell r="Z120">
            <v>0.13</v>
          </cell>
          <cell r="AA120">
            <v>0</v>
          </cell>
          <cell r="AB120">
            <v>0.29749999999999999</v>
          </cell>
          <cell r="AC120">
            <v>292600</v>
          </cell>
          <cell r="AD120">
            <v>284453</v>
          </cell>
          <cell r="AE120">
            <v>284453</v>
          </cell>
          <cell r="AF120">
            <v>305</v>
          </cell>
          <cell r="AG120">
            <v>309.8</v>
          </cell>
          <cell r="AH120">
            <v>317</v>
          </cell>
          <cell r="AI120">
            <v>300.5</v>
          </cell>
          <cell r="AJ120">
            <v>0</v>
          </cell>
          <cell r="AM120">
            <v>2</v>
          </cell>
          <cell r="AN120">
            <v>0</v>
          </cell>
          <cell r="AO120">
            <v>295</v>
          </cell>
          <cell r="AQ120">
            <v>0</v>
          </cell>
          <cell r="AT120">
            <v>0</v>
          </cell>
          <cell r="AU120">
            <v>0</v>
          </cell>
          <cell r="AV120">
            <v>2841019</v>
          </cell>
          <cell r="AW120">
            <v>50873</v>
          </cell>
          <cell r="AX120">
            <v>56827</v>
          </cell>
          <cell r="AY120">
            <v>275799</v>
          </cell>
          <cell r="AZ120">
            <v>1</v>
          </cell>
          <cell r="BA120">
            <v>1</v>
          </cell>
          <cell r="BB120">
            <v>0</v>
          </cell>
          <cell r="BC120">
            <v>0</v>
          </cell>
          <cell r="BE120">
            <v>3073334</v>
          </cell>
          <cell r="BF120">
            <v>3653</v>
          </cell>
          <cell r="BG120">
            <v>1497</v>
          </cell>
          <cell r="BH120">
            <v>33</v>
          </cell>
          <cell r="BI120">
            <v>35412647</v>
          </cell>
          <cell r="BJ120">
            <v>35525556</v>
          </cell>
          <cell r="BL120">
            <v>52</v>
          </cell>
          <cell r="BM120">
            <v>105</v>
          </cell>
          <cell r="BN120">
            <v>116</v>
          </cell>
          <cell r="BO120">
            <v>57</v>
          </cell>
          <cell r="BP120">
            <v>41</v>
          </cell>
          <cell r="BQ120">
            <v>28</v>
          </cell>
        </row>
        <row r="121">
          <cell r="A121">
            <v>323</v>
          </cell>
          <cell r="B121" t="str">
            <v>323 - Rock Creek</v>
          </cell>
          <cell r="C121" t="str">
            <v>Pottawatomie</v>
          </cell>
          <cell r="D121">
            <v>90022429</v>
          </cell>
          <cell r="E121">
            <v>79219366</v>
          </cell>
          <cell r="F121">
            <v>94321876</v>
          </cell>
          <cell r="G121">
            <v>75515731</v>
          </cell>
          <cell r="H121">
            <v>1296.5</v>
          </cell>
          <cell r="I121">
            <v>1283</v>
          </cell>
          <cell r="J121">
            <v>233</v>
          </cell>
          <cell r="K121">
            <v>10717186</v>
          </cell>
          <cell r="L121">
            <v>1229.0999999999999</v>
          </cell>
          <cell r="M121">
            <v>1310.5</v>
          </cell>
          <cell r="N121">
            <v>1298</v>
          </cell>
          <cell r="O121">
            <v>1302.4000000000001</v>
          </cell>
          <cell r="P121">
            <v>1237186</v>
          </cell>
          <cell r="Q121">
            <v>1301074</v>
          </cell>
          <cell r="R121">
            <v>2103405</v>
          </cell>
          <cell r="S121">
            <v>889996</v>
          </cell>
          <cell r="T121">
            <v>0</v>
          </cell>
          <cell r="U121">
            <v>0</v>
          </cell>
          <cell r="V121">
            <v>0.12</v>
          </cell>
          <cell r="W121">
            <v>0.6</v>
          </cell>
          <cell r="X121">
            <v>236</v>
          </cell>
          <cell r="Y121">
            <v>100</v>
          </cell>
          <cell r="Z121">
            <v>0.59</v>
          </cell>
          <cell r="AA121">
            <v>0.04</v>
          </cell>
          <cell r="AB121">
            <v>0.57820000000000005</v>
          </cell>
          <cell r="AC121">
            <v>1080324</v>
          </cell>
          <cell r="AD121">
            <v>1046801</v>
          </cell>
          <cell r="AE121">
            <v>1046801</v>
          </cell>
          <cell r="AF121">
            <v>1224.5</v>
          </cell>
          <cell r="AG121">
            <v>1304.5</v>
          </cell>
          <cell r="AH121">
            <v>1294</v>
          </cell>
          <cell r="AI121">
            <v>1298.5</v>
          </cell>
          <cell r="AJ121">
            <v>3.8E-3</v>
          </cell>
          <cell r="AM121">
            <v>38</v>
          </cell>
          <cell r="AN121">
            <v>0</v>
          </cell>
          <cell r="AO121">
            <v>1290</v>
          </cell>
          <cell r="AQ121">
            <v>0</v>
          </cell>
          <cell r="AT121">
            <v>0</v>
          </cell>
          <cell r="AU121">
            <v>0</v>
          </cell>
          <cell r="AV121">
            <v>9094501</v>
          </cell>
          <cell r="AW121">
            <v>287496</v>
          </cell>
          <cell r="AX121">
            <v>422416</v>
          </cell>
          <cell r="AY121">
            <v>1992865</v>
          </cell>
          <cell r="AZ121">
            <v>1</v>
          </cell>
          <cell r="BA121">
            <v>1</v>
          </cell>
          <cell r="BB121">
            <v>47100</v>
          </cell>
          <cell r="BC121">
            <v>47210</v>
          </cell>
          <cell r="BE121">
            <v>9416112</v>
          </cell>
          <cell r="BF121">
            <v>7710</v>
          </cell>
          <cell r="BG121">
            <v>9114</v>
          </cell>
          <cell r="BH121">
            <v>33</v>
          </cell>
          <cell r="BI121">
            <v>90022429</v>
          </cell>
          <cell r="BJ121">
            <v>94321876</v>
          </cell>
          <cell r="BL121">
            <v>217</v>
          </cell>
          <cell r="BM121">
            <v>280</v>
          </cell>
          <cell r="BN121">
            <v>276</v>
          </cell>
          <cell r="BO121">
            <v>130</v>
          </cell>
          <cell r="BP121">
            <v>94</v>
          </cell>
          <cell r="BQ121">
            <v>96</v>
          </cell>
        </row>
        <row r="122">
          <cell r="A122">
            <v>325</v>
          </cell>
          <cell r="B122" t="str">
            <v>325 - Phillipsburg</v>
          </cell>
          <cell r="C122" t="str">
            <v>Phillips</v>
          </cell>
          <cell r="D122">
            <v>38183025</v>
          </cell>
          <cell r="E122">
            <v>31735196</v>
          </cell>
          <cell r="F122">
            <v>54067470</v>
          </cell>
          <cell r="G122">
            <v>44012180</v>
          </cell>
          <cell r="H122">
            <v>564</v>
          </cell>
          <cell r="I122">
            <v>551.5</v>
          </cell>
          <cell r="J122">
            <v>353</v>
          </cell>
          <cell r="K122">
            <v>5961513</v>
          </cell>
          <cell r="L122">
            <v>560</v>
          </cell>
          <cell r="M122">
            <v>568</v>
          </cell>
          <cell r="N122">
            <v>555.5</v>
          </cell>
          <cell r="O122">
            <v>541.79999999999995</v>
          </cell>
          <cell r="P122">
            <v>705426</v>
          </cell>
          <cell r="Q122">
            <v>789907</v>
          </cell>
          <cell r="R122">
            <v>1105247</v>
          </cell>
          <cell r="S122">
            <v>757039</v>
          </cell>
          <cell r="T122">
            <v>0</v>
          </cell>
          <cell r="U122">
            <v>0</v>
          </cell>
          <cell r="V122">
            <v>0</v>
          </cell>
          <cell r="W122">
            <v>0.34</v>
          </cell>
          <cell r="X122">
            <v>225</v>
          </cell>
          <cell r="Y122">
            <v>48</v>
          </cell>
          <cell r="Z122">
            <v>0.33</v>
          </cell>
          <cell r="AA122">
            <v>0</v>
          </cell>
          <cell r="AB122">
            <v>0.5171</v>
          </cell>
          <cell r="AC122">
            <v>532314</v>
          </cell>
          <cell r="AD122">
            <v>516631</v>
          </cell>
          <cell r="AE122">
            <v>516631</v>
          </cell>
          <cell r="AF122">
            <v>560</v>
          </cell>
          <cell r="AG122">
            <v>568</v>
          </cell>
          <cell r="AH122">
            <v>555.5</v>
          </cell>
          <cell r="AI122">
            <v>541.79999999999995</v>
          </cell>
          <cell r="AJ122">
            <v>0</v>
          </cell>
          <cell r="AM122">
            <v>0</v>
          </cell>
          <cell r="AN122">
            <v>0</v>
          </cell>
          <cell r="AO122">
            <v>533.79999999999995</v>
          </cell>
          <cell r="AQ122">
            <v>0</v>
          </cell>
          <cell r="AT122">
            <v>0</v>
          </cell>
          <cell r="AU122">
            <v>0</v>
          </cell>
          <cell r="AV122">
            <v>4871022</v>
          </cell>
          <cell r="AW122">
            <v>125981</v>
          </cell>
          <cell r="AX122">
            <v>183883</v>
          </cell>
          <cell r="AY122">
            <v>1021624</v>
          </cell>
          <cell r="AZ122">
            <v>1</v>
          </cell>
          <cell r="BA122">
            <v>1</v>
          </cell>
          <cell r="BB122">
            <v>0</v>
          </cell>
          <cell r="BC122">
            <v>0</v>
          </cell>
          <cell r="BE122">
            <v>5171606</v>
          </cell>
          <cell r="BF122">
            <v>497</v>
          </cell>
          <cell r="BG122">
            <v>118</v>
          </cell>
          <cell r="BH122">
            <v>33</v>
          </cell>
          <cell r="BI122">
            <v>38183025</v>
          </cell>
          <cell r="BJ122">
            <v>53098746</v>
          </cell>
          <cell r="BL122">
            <v>144</v>
          </cell>
          <cell r="BM122">
            <v>205</v>
          </cell>
          <cell r="BN122">
            <v>224</v>
          </cell>
          <cell r="BO122">
            <v>72</v>
          </cell>
          <cell r="BP122">
            <v>50</v>
          </cell>
          <cell r="BQ122">
            <v>58</v>
          </cell>
        </row>
        <row r="123">
          <cell r="A123">
            <v>326</v>
          </cell>
          <cell r="B123" t="str">
            <v>326 - Logan</v>
          </cell>
          <cell r="C123" t="str">
            <v>Phillips</v>
          </cell>
          <cell r="D123">
            <v>18886906</v>
          </cell>
          <cell r="E123">
            <v>17014106</v>
          </cell>
          <cell r="F123">
            <v>17791361</v>
          </cell>
          <cell r="G123">
            <v>15063793</v>
          </cell>
          <cell r="H123">
            <v>115.6</v>
          </cell>
          <cell r="I123">
            <v>109.7</v>
          </cell>
          <cell r="J123">
            <v>332.1</v>
          </cell>
          <cell r="K123">
            <v>1569300</v>
          </cell>
          <cell r="L123">
            <v>129</v>
          </cell>
          <cell r="M123">
            <v>119.1</v>
          </cell>
          <cell r="N123">
            <v>111.2</v>
          </cell>
          <cell r="O123">
            <v>113</v>
          </cell>
          <cell r="P123">
            <v>143948</v>
          </cell>
          <cell r="Q123">
            <v>154808</v>
          </cell>
          <cell r="R123">
            <v>8556</v>
          </cell>
          <cell r="S123">
            <v>216525</v>
          </cell>
          <cell r="T123">
            <v>0</v>
          </cell>
          <cell r="U123">
            <v>0</v>
          </cell>
          <cell r="V123">
            <v>0</v>
          </cell>
          <cell r="W123">
            <v>0</v>
          </cell>
          <cell r="X123">
            <v>41</v>
          </cell>
          <cell r="Y123">
            <v>20</v>
          </cell>
          <cell r="Z123">
            <v>0</v>
          </cell>
          <cell r="AA123">
            <v>0</v>
          </cell>
          <cell r="AB123">
            <v>0</v>
          </cell>
          <cell r="AC123">
            <v>160566</v>
          </cell>
          <cell r="AD123">
            <v>151728</v>
          </cell>
          <cell r="AE123">
            <v>151728</v>
          </cell>
          <cell r="AF123">
            <v>129</v>
          </cell>
          <cell r="AG123">
            <v>119.1</v>
          </cell>
          <cell r="AH123">
            <v>111.2</v>
          </cell>
          <cell r="AI123">
            <v>113</v>
          </cell>
          <cell r="AJ123">
            <v>0</v>
          </cell>
          <cell r="AM123">
            <v>0</v>
          </cell>
          <cell r="AN123">
            <v>0</v>
          </cell>
          <cell r="AO123">
            <v>112</v>
          </cell>
          <cell r="AQ123">
            <v>0</v>
          </cell>
          <cell r="AT123">
            <v>0</v>
          </cell>
          <cell r="AU123">
            <v>0</v>
          </cell>
          <cell r="AV123">
            <v>1516488</v>
          </cell>
          <cell r="AW123">
            <v>0</v>
          </cell>
          <cell r="AX123">
            <v>0</v>
          </cell>
          <cell r="AY123">
            <v>26900</v>
          </cell>
          <cell r="AZ123">
            <v>1</v>
          </cell>
          <cell r="BA123">
            <v>1</v>
          </cell>
          <cell r="BB123">
            <v>0</v>
          </cell>
          <cell r="BC123">
            <v>0</v>
          </cell>
          <cell r="BE123">
            <v>1412793</v>
          </cell>
          <cell r="BF123">
            <v>303</v>
          </cell>
          <cell r="BG123">
            <v>485</v>
          </cell>
          <cell r="BH123">
            <v>33</v>
          </cell>
          <cell r="BI123">
            <v>18886906</v>
          </cell>
          <cell r="BJ123">
            <v>17738174</v>
          </cell>
          <cell r="BL123">
            <v>46</v>
          </cell>
          <cell r="BM123">
            <v>51</v>
          </cell>
          <cell r="BN123">
            <v>55</v>
          </cell>
          <cell r="BO123">
            <v>16</v>
          </cell>
          <cell r="BP123">
            <v>13</v>
          </cell>
          <cell r="BQ123">
            <v>9</v>
          </cell>
        </row>
        <row r="124">
          <cell r="A124">
            <v>327</v>
          </cell>
          <cell r="B124" t="str">
            <v>327 - Ellsworth</v>
          </cell>
          <cell r="C124" t="str">
            <v>Ellsworth</v>
          </cell>
          <cell r="D124">
            <v>60906000</v>
          </cell>
          <cell r="E124">
            <v>52382159</v>
          </cell>
          <cell r="F124">
            <v>62138898</v>
          </cell>
          <cell r="G124">
            <v>48596431</v>
          </cell>
          <cell r="H124">
            <v>643.1</v>
          </cell>
          <cell r="I124">
            <v>641.79999999999995</v>
          </cell>
          <cell r="J124">
            <v>425.3</v>
          </cell>
          <cell r="K124">
            <v>6386304</v>
          </cell>
          <cell r="L124">
            <v>633.70000000000005</v>
          </cell>
          <cell r="M124">
            <v>643.1</v>
          </cell>
          <cell r="N124">
            <v>641.79999999999995</v>
          </cell>
          <cell r="O124">
            <v>625.20000000000005</v>
          </cell>
          <cell r="P124">
            <v>653300</v>
          </cell>
          <cell r="Q124">
            <v>719682</v>
          </cell>
          <cell r="R124">
            <v>896151</v>
          </cell>
          <cell r="S124">
            <v>519523</v>
          </cell>
          <cell r="T124">
            <v>7089</v>
          </cell>
          <cell r="U124">
            <v>7865</v>
          </cell>
          <cell r="V124">
            <v>0</v>
          </cell>
          <cell r="W124">
            <v>0.36</v>
          </cell>
          <cell r="X124">
            <v>181</v>
          </cell>
          <cell r="Y124">
            <v>62</v>
          </cell>
          <cell r="Z124">
            <v>0.35</v>
          </cell>
          <cell r="AA124">
            <v>0</v>
          </cell>
          <cell r="AB124">
            <v>0.41920000000000002</v>
          </cell>
          <cell r="AC124">
            <v>593905</v>
          </cell>
          <cell r="AD124">
            <v>578621</v>
          </cell>
          <cell r="AE124">
            <v>578621</v>
          </cell>
          <cell r="AF124">
            <v>633.70000000000005</v>
          </cell>
          <cell r="AG124">
            <v>643.1</v>
          </cell>
          <cell r="AH124">
            <v>641.79999999999995</v>
          </cell>
          <cell r="AI124">
            <v>625.20000000000005</v>
          </cell>
          <cell r="AJ124">
            <v>0</v>
          </cell>
          <cell r="AM124">
            <v>4</v>
          </cell>
          <cell r="AN124">
            <v>0</v>
          </cell>
          <cell r="AO124">
            <v>625.20000000000005</v>
          </cell>
          <cell r="AQ124">
            <v>0</v>
          </cell>
          <cell r="AT124">
            <v>0</v>
          </cell>
          <cell r="AU124">
            <v>0</v>
          </cell>
          <cell r="AV124">
            <v>5264878</v>
          </cell>
          <cell r="AW124">
            <v>154657</v>
          </cell>
          <cell r="AX124">
            <v>197861</v>
          </cell>
          <cell r="AY124">
            <v>775915</v>
          </cell>
          <cell r="AZ124">
            <v>1</v>
          </cell>
          <cell r="BA124">
            <v>1</v>
          </cell>
          <cell r="BB124">
            <v>0</v>
          </cell>
          <cell r="BC124">
            <v>0</v>
          </cell>
          <cell r="BE124">
            <v>5666067</v>
          </cell>
          <cell r="BF124">
            <v>4751</v>
          </cell>
          <cell r="BG124">
            <v>4752</v>
          </cell>
          <cell r="BH124">
            <v>33</v>
          </cell>
          <cell r="BI124">
            <v>59003478</v>
          </cell>
          <cell r="BJ124">
            <v>60323610</v>
          </cell>
          <cell r="BL124">
            <v>125</v>
          </cell>
          <cell r="BM124">
            <v>196</v>
          </cell>
          <cell r="BN124">
            <v>171</v>
          </cell>
          <cell r="BO124">
            <v>60</v>
          </cell>
          <cell r="BP124">
            <v>37</v>
          </cell>
          <cell r="BQ124">
            <v>50</v>
          </cell>
        </row>
        <row r="125">
          <cell r="A125">
            <v>329</v>
          </cell>
          <cell r="B125" t="str">
            <v>329 - Wabaunsee</v>
          </cell>
          <cell r="C125" t="str">
            <v>Wabaunsee</v>
          </cell>
          <cell r="D125">
            <v>58210904</v>
          </cell>
          <cell r="E125">
            <v>51191900</v>
          </cell>
          <cell r="F125">
            <v>61597381</v>
          </cell>
          <cell r="G125">
            <v>49468414</v>
          </cell>
          <cell r="H125">
            <v>383</v>
          </cell>
          <cell r="I125">
            <v>378.7</v>
          </cell>
          <cell r="J125">
            <v>397</v>
          </cell>
          <cell r="K125">
            <v>4072350</v>
          </cell>
          <cell r="L125">
            <v>389.6</v>
          </cell>
          <cell r="M125">
            <v>389.5</v>
          </cell>
          <cell r="N125">
            <v>387.7</v>
          </cell>
          <cell r="O125">
            <v>371.1</v>
          </cell>
          <cell r="P125">
            <v>376027</v>
          </cell>
          <cell r="Q125">
            <v>432973</v>
          </cell>
          <cell r="R125">
            <v>160859</v>
          </cell>
          <cell r="S125">
            <v>536962</v>
          </cell>
          <cell r="T125">
            <v>8197</v>
          </cell>
          <cell r="U125">
            <v>7547</v>
          </cell>
          <cell r="V125">
            <v>0</v>
          </cell>
          <cell r="W125">
            <v>0</v>
          </cell>
          <cell r="X125">
            <v>100</v>
          </cell>
          <cell r="Y125">
            <v>27</v>
          </cell>
          <cell r="Z125">
            <v>0</v>
          </cell>
          <cell r="AA125">
            <v>0</v>
          </cell>
          <cell r="AB125">
            <v>6.13E-2</v>
          </cell>
          <cell r="AC125">
            <v>439427</v>
          </cell>
          <cell r="AD125">
            <v>418364</v>
          </cell>
          <cell r="AE125">
            <v>418364</v>
          </cell>
          <cell r="AF125">
            <v>389.6</v>
          </cell>
          <cell r="AG125">
            <v>387.5</v>
          </cell>
          <cell r="AH125">
            <v>386.7</v>
          </cell>
          <cell r="AI125">
            <v>368.1</v>
          </cell>
          <cell r="AJ125">
            <v>0</v>
          </cell>
          <cell r="AM125">
            <v>5</v>
          </cell>
          <cell r="AN125">
            <v>0</v>
          </cell>
          <cell r="AO125">
            <v>364.6</v>
          </cell>
          <cell r="AQ125">
            <v>0</v>
          </cell>
          <cell r="AT125">
            <v>0</v>
          </cell>
          <cell r="AU125">
            <v>0</v>
          </cell>
          <cell r="AV125">
            <v>3529338</v>
          </cell>
          <cell r="AW125">
            <v>0</v>
          </cell>
          <cell r="AX125">
            <v>0</v>
          </cell>
          <cell r="AY125">
            <v>203509</v>
          </cell>
          <cell r="AZ125">
            <v>1</v>
          </cell>
          <cell r="BA125">
            <v>1</v>
          </cell>
          <cell r="BB125">
            <v>0</v>
          </cell>
          <cell r="BC125">
            <v>0</v>
          </cell>
          <cell r="BE125">
            <v>3638619</v>
          </cell>
          <cell r="BF125">
            <v>5268</v>
          </cell>
          <cell r="BG125">
            <v>1919</v>
          </cell>
          <cell r="BH125">
            <v>33</v>
          </cell>
          <cell r="BI125">
            <v>58210904</v>
          </cell>
          <cell r="BJ125">
            <v>61550428</v>
          </cell>
          <cell r="BL125">
            <v>50</v>
          </cell>
          <cell r="BM125">
            <v>87</v>
          </cell>
          <cell r="BN125">
            <v>106</v>
          </cell>
          <cell r="BO125">
            <v>22</v>
          </cell>
          <cell r="BP125">
            <v>32</v>
          </cell>
          <cell r="BQ125">
            <v>26</v>
          </cell>
        </row>
        <row r="126">
          <cell r="A126">
            <v>330</v>
          </cell>
          <cell r="B126" t="str">
            <v>330 - Mission Valley</v>
          </cell>
          <cell r="C126" t="str">
            <v>Wabaunsee</v>
          </cell>
          <cell r="D126">
            <v>54160020</v>
          </cell>
          <cell r="E126">
            <v>46746733</v>
          </cell>
          <cell r="F126">
            <v>56310900</v>
          </cell>
          <cell r="G126">
            <v>43769177</v>
          </cell>
          <cell r="H126">
            <v>439.3</v>
          </cell>
          <cell r="I126">
            <v>426.8</v>
          </cell>
          <cell r="J126">
            <v>370</v>
          </cell>
          <cell r="K126">
            <v>4809762</v>
          </cell>
          <cell r="L126">
            <v>447</v>
          </cell>
          <cell r="M126">
            <v>447.8</v>
          </cell>
          <cell r="N126">
            <v>434.8</v>
          </cell>
          <cell r="O126">
            <v>435.5</v>
          </cell>
          <cell r="P126">
            <v>691338</v>
          </cell>
          <cell r="Q126">
            <v>665826</v>
          </cell>
          <cell r="R126">
            <v>421456</v>
          </cell>
          <cell r="S126">
            <v>659639</v>
          </cell>
          <cell r="T126">
            <v>0</v>
          </cell>
          <cell r="U126">
            <v>0</v>
          </cell>
          <cell r="V126">
            <v>0</v>
          </cell>
          <cell r="W126">
            <v>0.03</v>
          </cell>
          <cell r="X126">
            <v>111</v>
          </cell>
          <cell r="Y126">
            <v>38</v>
          </cell>
          <cell r="Z126">
            <v>0.02</v>
          </cell>
          <cell r="AA126">
            <v>0</v>
          </cell>
          <cell r="AB126">
            <v>0.23810000000000001</v>
          </cell>
          <cell r="AC126">
            <v>598850</v>
          </cell>
          <cell r="AD126">
            <v>567098</v>
          </cell>
          <cell r="AE126">
            <v>567098</v>
          </cell>
          <cell r="AF126">
            <v>445</v>
          </cell>
          <cell r="AG126">
            <v>445.8</v>
          </cell>
          <cell r="AH126">
            <v>434.8</v>
          </cell>
          <cell r="AI126">
            <v>435</v>
          </cell>
          <cell r="AJ126">
            <v>0</v>
          </cell>
          <cell r="AM126">
            <v>15</v>
          </cell>
          <cell r="AN126">
            <v>0</v>
          </cell>
          <cell r="AO126">
            <v>427.5</v>
          </cell>
          <cell r="AQ126">
            <v>0</v>
          </cell>
          <cell r="AT126">
            <v>0</v>
          </cell>
          <cell r="AU126">
            <v>0</v>
          </cell>
          <cell r="AV126">
            <v>4049657</v>
          </cell>
          <cell r="AW126">
            <v>56305</v>
          </cell>
          <cell r="AX126">
            <v>31528</v>
          </cell>
          <cell r="AY126">
            <v>421871</v>
          </cell>
          <cell r="AZ126">
            <v>1</v>
          </cell>
          <cell r="BA126">
            <v>1</v>
          </cell>
          <cell r="BB126">
            <v>0</v>
          </cell>
          <cell r="BC126">
            <v>0</v>
          </cell>
          <cell r="BE126">
            <v>4143633</v>
          </cell>
          <cell r="BF126">
            <v>1742</v>
          </cell>
          <cell r="BG126">
            <v>2289</v>
          </cell>
          <cell r="BH126">
            <v>33</v>
          </cell>
          <cell r="BI126">
            <v>54160020</v>
          </cell>
          <cell r="BJ126">
            <v>56310900</v>
          </cell>
          <cell r="BL126">
            <v>69</v>
          </cell>
          <cell r="BM126">
            <v>129</v>
          </cell>
          <cell r="BN126">
            <v>130</v>
          </cell>
          <cell r="BO126">
            <v>45</v>
          </cell>
          <cell r="BP126">
            <v>23</v>
          </cell>
          <cell r="BQ126">
            <v>35</v>
          </cell>
        </row>
        <row r="127">
          <cell r="A127">
            <v>331</v>
          </cell>
          <cell r="B127" t="str">
            <v>331 - Kingman - Norwich</v>
          </cell>
          <cell r="C127" t="str">
            <v>Kingman</v>
          </cell>
          <cell r="D127">
            <v>79591702</v>
          </cell>
          <cell r="E127">
            <v>67183940</v>
          </cell>
          <cell r="F127">
            <v>78708490</v>
          </cell>
          <cell r="G127">
            <v>58873919</v>
          </cell>
          <cell r="H127">
            <v>839.1</v>
          </cell>
          <cell r="I127">
            <v>808.7</v>
          </cell>
          <cell r="J127">
            <v>565.5</v>
          </cell>
          <cell r="K127">
            <v>8507168</v>
          </cell>
          <cell r="L127">
            <v>853.8</v>
          </cell>
          <cell r="M127">
            <v>875.6</v>
          </cell>
          <cell r="N127">
            <v>844.9</v>
          </cell>
          <cell r="O127">
            <v>822.3</v>
          </cell>
          <cell r="P127">
            <v>1134066</v>
          </cell>
          <cell r="Q127">
            <v>1140679</v>
          </cell>
          <cell r="R127">
            <v>1303404</v>
          </cell>
          <cell r="S127">
            <v>1192582</v>
          </cell>
          <cell r="T127">
            <v>43573</v>
          </cell>
          <cell r="U127">
            <v>3805</v>
          </cell>
          <cell r="V127">
            <v>0</v>
          </cell>
          <cell r="W127">
            <v>0.41</v>
          </cell>
          <cell r="X127">
            <v>337</v>
          </cell>
          <cell r="Y127">
            <v>95</v>
          </cell>
          <cell r="Z127">
            <v>0.4</v>
          </cell>
          <cell r="AA127">
            <v>0</v>
          </cell>
          <cell r="AB127">
            <v>0.44600000000000001</v>
          </cell>
          <cell r="AC127">
            <v>888731</v>
          </cell>
          <cell r="AD127">
            <v>860666</v>
          </cell>
          <cell r="AE127">
            <v>860666</v>
          </cell>
          <cell r="AF127">
            <v>830.8</v>
          </cell>
          <cell r="AG127">
            <v>860.1</v>
          </cell>
          <cell r="AH127">
            <v>822.2</v>
          </cell>
          <cell r="AI127">
            <v>806.3</v>
          </cell>
          <cell r="AJ127">
            <v>0</v>
          </cell>
          <cell r="AM127">
            <v>1</v>
          </cell>
          <cell r="AN127">
            <v>0</v>
          </cell>
          <cell r="AO127">
            <v>790.8</v>
          </cell>
          <cell r="AQ127">
            <v>0</v>
          </cell>
          <cell r="AT127">
            <v>0</v>
          </cell>
          <cell r="AU127">
            <v>0</v>
          </cell>
          <cell r="AV127">
            <v>7249742</v>
          </cell>
          <cell r="AW127">
            <v>278912</v>
          </cell>
          <cell r="AX127">
            <v>234289</v>
          </cell>
          <cell r="AY127">
            <v>1340121</v>
          </cell>
          <cell r="AZ127">
            <v>1</v>
          </cell>
          <cell r="BA127">
            <v>1</v>
          </cell>
          <cell r="BB127">
            <v>0</v>
          </cell>
          <cell r="BC127">
            <v>0</v>
          </cell>
          <cell r="BE127">
            <v>7360879</v>
          </cell>
          <cell r="BF127">
            <v>842</v>
          </cell>
          <cell r="BG127">
            <v>1329</v>
          </cell>
          <cell r="BH127">
            <v>33</v>
          </cell>
          <cell r="BI127">
            <v>79266161</v>
          </cell>
          <cell r="BJ127">
            <v>75092710</v>
          </cell>
          <cell r="BL127">
            <v>261</v>
          </cell>
          <cell r="BM127">
            <v>367</v>
          </cell>
          <cell r="BN127">
            <v>375</v>
          </cell>
          <cell r="BO127">
            <v>115</v>
          </cell>
          <cell r="BP127">
            <v>77</v>
          </cell>
          <cell r="BQ127">
            <v>79</v>
          </cell>
        </row>
        <row r="128">
          <cell r="A128">
            <v>332</v>
          </cell>
          <cell r="B128" t="str">
            <v>332 - Cunningham</v>
          </cell>
          <cell r="C128" t="str">
            <v>Kingman</v>
          </cell>
          <cell r="D128">
            <v>79691165</v>
          </cell>
          <cell r="E128">
            <v>76833165</v>
          </cell>
          <cell r="F128">
            <v>65833389</v>
          </cell>
          <cell r="G128">
            <v>61445761</v>
          </cell>
          <cell r="H128">
            <v>199</v>
          </cell>
          <cell r="I128">
            <v>206.1</v>
          </cell>
          <cell r="J128">
            <v>323.5</v>
          </cell>
          <cell r="K128">
            <v>2638985</v>
          </cell>
          <cell r="L128">
            <v>212</v>
          </cell>
          <cell r="M128">
            <v>204</v>
          </cell>
          <cell r="N128">
            <v>213.1</v>
          </cell>
          <cell r="O128">
            <v>214</v>
          </cell>
          <cell r="P128">
            <v>272499</v>
          </cell>
          <cell r="Q128">
            <v>299720</v>
          </cell>
          <cell r="R128">
            <v>0</v>
          </cell>
          <cell r="S128">
            <v>242816</v>
          </cell>
          <cell r="T128">
            <v>0</v>
          </cell>
          <cell r="U128">
            <v>0</v>
          </cell>
          <cell r="V128">
            <v>0</v>
          </cell>
          <cell r="W128">
            <v>0</v>
          </cell>
          <cell r="X128">
            <v>71</v>
          </cell>
          <cell r="Y128">
            <v>13</v>
          </cell>
          <cell r="Z128">
            <v>0</v>
          </cell>
          <cell r="AA128">
            <v>0</v>
          </cell>
          <cell r="AB128">
            <v>0</v>
          </cell>
          <cell r="AC128">
            <v>229542</v>
          </cell>
          <cell r="AD128">
            <v>209889</v>
          </cell>
          <cell r="AE128">
            <v>209889</v>
          </cell>
          <cell r="AF128">
            <v>212</v>
          </cell>
          <cell r="AG128">
            <v>204</v>
          </cell>
          <cell r="AH128">
            <v>213.1</v>
          </cell>
          <cell r="AI128">
            <v>214</v>
          </cell>
          <cell r="AJ128">
            <v>0</v>
          </cell>
          <cell r="AM128">
            <v>0</v>
          </cell>
          <cell r="AN128">
            <v>0</v>
          </cell>
          <cell r="AO128">
            <v>211</v>
          </cell>
          <cell r="AQ128">
            <v>0</v>
          </cell>
          <cell r="AT128">
            <v>0</v>
          </cell>
          <cell r="AU128">
            <v>0</v>
          </cell>
          <cell r="AV128">
            <v>2166243</v>
          </cell>
          <cell r="AW128">
            <v>0</v>
          </cell>
          <cell r="AX128">
            <v>0</v>
          </cell>
          <cell r="AY128">
            <v>0</v>
          </cell>
          <cell r="AZ128">
            <v>1</v>
          </cell>
          <cell r="BA128">
            <v>1</v>
          </cell>
          <cell r="BB128">
            <v>0</v>
          </cell>
          <cell r="BC128">
            <v>0</v>
          </cell>
          <cell r="BE128">
            <v>2334641</v>
          </cell>
          <cell r="BF128">
            <v>1651</v>
          </cell>
          <cell r="BG128">
            <v>1760</v>
          </cell>
          <cell r="BH128">
            <v>32.5</v>
          </cell>
          <cell r="BI128">
            <v>77866543</v>
          </cell>
          <cell r="BJ128">
            <v>64075821</v>
          </cell>
          <cell r="BL128">
            <v>47</v>
          </cell>
          <cell r="BM128">
            <v>55</v>
          </cell>
          <cell r="BN128">
            <v>55</v>
          </cell>
          <cell r="BO128">
            <v>27</v>
          </cell>
          <cell r="BP128">
            <v>15</v>
          </cell>
          <cell r="BQ128">
            <v>9</v>
          </cell>
        </row>
        <row r="129">
          <cell r="A129">
            <v>333</v>
          </cell>
          <cell r="B129" t="str">
            <v>333 - Concordia</v>
          </cell>
          <cell r="C129" t="str">
            <v>Cloud</v>
          </cell>
          <cell r="D129">
            <v>85169241</v>
          </cell>
          <cell r="E129">
            <v>73035756</v>
          </cell>
          <cell r="F129">
            <v>86314769</v>
          </cell>
          <cell r="G129">
            <v>66956997</v>
          </cell>
          <cell r="H129">
            <v>1076.5999999999999</v>
          </cell>
          <cell r="I129">
            <v>1072.2</v>
          </cell>
          <cell r="J129">
            <v>336</v>
          </cell>
          <cell r="K129">
            <v>10348676</v>
          </cell>
          <cell r="L129">
            <v>1109.3</v>
          </cell>
          <cell r="M129">
            <v>1091.4000000000001</v>
          </cell>
          <cell r="N129">
            <v>1097.9000000000001</v>
          </cell>
          <cell r="O129">
            <v>1110.9000000000001</v>
          </cell>
          <cell r="P129">
            <v>1080222</v>
          </cell>
          <cell r="Q129">
            <v>1148991</v>
          </cell>
          <cell r="R129">
            <v>1835920</v>
          </cell>
          <cell r="S129">
            <v>1174790</v>
          </cell>
          <cell r="T129">
            <v>0</v>
          </cell>
          <cell r="U129">
            <v>0</v>
          </cell>
          <cell r="V129">
            <v>7.0000000000000007E-2</v>
          </cell>
          <cell r="W129">
            <v>0.55000000000000004</v>
          </cell>
          <cell r="X129">
            <v>527</v>
          </cell>
          <cell r="Y129">
            <v>133</v>
          </cell>
          <cell r="Z129">
            <v>0.54</v>
          </cell>
          <cell r="AA129">
            <v>0</v>
          </cell>
          <cell r="AB129">
            <v>0.52500000000000002</v>
          </cell>
          <cell r="AC129">
            <v>1435926</v>
          </cell>
          <cell r="AD129">
            <v>1428452</v>
          </cell>
          <cell r="AE129">
            <v>1428452</v>
          </cell>
          <cell r="AF129">
            <v>1109.3</v>
          </cell>
          <cell r="AG129">
            <v>1087.5999999999999</v>
          </cell>
          <cell r="AH129">
            <v>1087.7</v>
          </cell>
          <cell r="AI129">
            <v>1107</v>
          </cell>
          <cell r="AJ129">
            <v>0</v>
          </cell>
          <cell r="AM129">
            <v>3</v>
          </cell>
          <cell r="AN129">
            <v>0</v>
          </cell>
          <cell r="AO129">
            <v>1085</v>
          </cell>
          <cell r="AQ129">
            <v>0</v>
          </cell>
          <cell r="AT129">
            <v>0</v>
          </cell>
          <cell r="AU129">
            <v>0</v>
          </cell>
          <cell r="AV129">
            <v>8704863</v>
          </cell>
          <cell r="AW129">
            <v>345034</v>
          </cell>
          <cell r="AX129">
            <v>384775</v>
          </cell>
          <cell r="AY129">
            <v>1713080</v>
          </cell>
          <cell r="AZ129">
            <v>1</v>
          </cell>
          <cell r="BA129">
            <v>1</v>
          </cell>
          <cell r="BB129">
            <v>116140</v>
          </cell>
          <cell r="BC129">
            <v>116850</v>
          </cell>
          <cell r="BE129">
            <v>9199685</v>
          </cell>
          <cell r="BF129">
            <v>6744</v>
          </cell>
          <cell r="BG129">
            <v>7856</v>
          </cell>
          <cell r="BH129">
            <v>33</v>
          </cell>
          <cell r="BI129">
            <v>84609549</v>
          </cell>
          <cell r="BJ129">
            <v>85930389</v>
          </cell>
          <cell r="BL129">
            <v>401</v>
          </cell>
          <cell r="BM129">
            <v>487</v>
          </cell>
          <cell r="BN129">
            <v>504</v>
          </cell>
          <cell r="BO129">
            <v>167</v>
          </cell>
          <cell r="BP129">
            <v>102</v>
          </cell>
          <cell r="BQ129">
            <v>118</v>
          </cell>
        </row>
        <row r="130">
          <cell r="A130">
            <v>334</v>
          </cell>
          <cell r="B130" t="str">
            <v>334 - Southern Cloud</v>
          </cell>
          <cell r="C130" t="str">
            <v>Cloud</v>
          </cell>
          <cell r="D130">
            <v>32139383</v>
          </cell>
          <cell r="E130">
            <v>29305688</v>
          </cell>
          <cell r="F130">
            <v>31703710</v>
          </cell>
          <cell r="G130">
            <v>27520877</v>
          </cell>
          <cell r="H130">
            <v>154.5</v>
          </cell>
          <cell r="I130">
            <v>120</v>
          </cell>
          <cell r="J130">
            <v>273</v>
          </cell>
          <cell r="K130">
            <v>1776756</v>
          </cell>
          <cell r="L130">
            <v>157.30000000000001</v>
          </cell>
          <cell r="M130">
            <v>164.7</v>
          </cell>
          <cell r="N130">
            <v>128.30000000000001</v>
          </cell>
          <cell r="O130">
            <v>57.5</v>
          </cell>
          <cell r="P130">
            <v>227174</v>
          </cell>
          <cell r="Q130">
            <v>200847</v>
          </cell>
          <cell r="R130">
            <v>0</v>
          </cell>
          <cell r="S130">
            <v>322301</v>
          </cell>
          <cell r="T130">
            <v>0</v>
          </cell>
          <cell r="U130">
            <v>0</v>
          </cell>
          <cell r="V130">
            <v>0</v>
          </cell>
          <cell r="W130">
            <v>0</v>
          </cell>
          <cell r="X130">
            <v>47</v>
          </cell>
          <cell r="Y130">
            <v>4</v>
          </cell>
          <cell r="Z130">
            <v>0</v>
          </cell>
          <cell r="AA130">
            <v>0</v>
          </cell>
          <cell r="AB130">
            <v>0</v>
          </cell>
          <cell r="AC130">
            <v>266790</v>
          </cell>
          <cell r="AD130">
            <v>178060</v>
          </cell>
          <cell r="AE130">
            <v>178060</v>
          </cell>
          <cell r="AF130">
            <v>153</v>
          </cell>
          <cell r="AG130">
            <v>154.5</v>
          </cell>
          <cell r="AH130">
            <v>120</v>
          </cell>
          <cell r="AI130">
            <v>57.5</v>
          </cell>
          <cell r="AJ130">
            <v>0</v>
          </cell>
          <cell r="AM130">
            <v>0</v>
          </cell>
          <cell r="AN130">
            <v>0</v>
          </cell>
          <cell r="AO130">
            <v>57.5</v>
          </cell>
          <cell r="AQ130">
            <v>0</v>
          </cell>
          <cell r="AT130">
            <v>0</v>
          </cell>
          <cell r="AU130">
            <v>0</v>
          </cell>
          <cell r="AV130">
            <v>1794616</v>
          </cell>
          <cell r="AW130">
            <v>0</v>
          </cell>
          <cell r="AX130">
            <v>0</v>
          </cell>
          <cell r="AY130">
            <v>0</v>
          </cell>
          <cell r="AZ130">
            <v>1</v>
          </cell>
          <cell r="BA130">
            <v>1</v>
          </cell>
          <cell r="BB130">
            <v>0</v>
          </cell>
          <cell r="BC130">
            <v>0</v>
          </cell>
          <cell r="BE130">
            <v>1575909</v>
          </cell>
          <cell r="BF130">
            <v>0</v>
          </cell>
          <cell r="BG130">
            <v>103</v>
          </cell>
          <cell r="BH130">
            <v>33</v>
          </cell>
          <cell r="BI130">
            <v>32139383</v>
          </cell>
          <cell r="BJ130">
            <v>31569197</v>
          </cell>
          <cell r="BL130">
            <v>64</v>
          </cell>
          <cell r="BM130">
            <v>89</v>
          </cell>
          <cell r="BN130">
            <v>81</v>
          </cell>
          <cell r="BO130">
            <v>22</v>
          </cell>
          <cell r="BP130">
            <v>31</v>
          </cell>
          <cell r="BQ130">
            <v>13</v>
          </cell>
        </row>
        <row r="131">
          <cell r="A131">
            <v>335</v>
          </cell>
          <cell r="B131" t="str">
            <v>335 - North Jackson</v>
          </cell>
          <cell r="C131" t="str">
            <v>Jackson</v>
          </cell>
          <cell r="D131">
            <v>30650727</v>
          </cell>
          <cell r="E131">
            <v>26887451</v>
          </cell>
          <cell r="F131">
            <v>41451484</v>
          </cell>
          <cell r="G131">
            <v>33614715</v>
          </cell>
          <cell r="H131">
            <v>362.9</v>
          </cell>
          <cell r="I131">
            <v>455.7</v>
          </cell>
          <cell r="J131">
            <v>302.5</v>
          </cell>
          <cell r="K131">
            <v>4996700</v>
          </cell>
          <cell r="L131">
            <v>359.6</v>
          </cell>
          <cell r="M131">
            <v>373.9</v>
          </cell>
          <cell r="N131">
            <v>473.2</v>
          </cell>
          <cell r="O131">
            <v>468</v>
          </cell>
          <cell r="P131">
            <v>263642</v>
          </cell>
          <cell r="Q131">
            <v>401613</v>
          </cell>
          <cell r="R131">
            <v>843085</v>
          </cell>
          <cell r="S131">
            <v>300689</v>
          </cell>
          <cell r="T131">
            <v>17758</v>
          </cell>
          <cell r="U131">
            <v>2902</v>
          </cell>
          <cell r="V131">
            <v>0</v>
          </cell>
          <cell r="W131">
            <v>0.44</v>
          </cell>
          <cell r="X131">
            <v>171</v>
          </cell>
          <cell r="Y131">
            <v>28</v>
          </cell>
          <cell r="Z131">
            <v>0.43</v>
          </cell>
          <cell r="AA131">
            <v>0</v>
          </cell>
          <cell r="AB131">
            <v>0.51680000000000004</v>
          </cell>
          <cell r="AC131">
            <v>409591</v>
          </cell>
          <cell r="AD131">
            <v>430720</v>
          </cell>
          <cell r="AE131">
            <v>430720</v>
          </cell>
          <cell r="AF131">
            <v>359.6</v>
          </cell>
          <cell r="AG131">
            <v>373.9</v>
          </cell>
          <cell r="AH131">
            <v>473.2</v>
          </cell>
          <cell r="AI131">
            <v>468</v>
          </cell>
          <cell r="AJ131">
            <v>0</v>
          </cell>
          <cell r="AM131">
            <v>0</v>
          </cell>
          <cell r="AN131">
            <v>0</v>
          </cell>
          <cell r="AO131">
            <v>452.5</v>
          </cell>
          <cell r="AQ131">
            <v>0</v>
          </cell>
          <cell r="AT131">
            <v>0</v>
          </cell>
          <cell r="AU131">
            <v>0</v>
          </cell>
          <cell r="AV131">
            <v>3699401</v>
          </cell>
          <cell r="AW131">
            <v>112761</v>
          </cell>
          <cell r="AX131">
            <v>219114</v>
          </cell>
          <cell r="AY131">
            <v>585791</v>
          </cell>
          <cell r="AZ131">
            <v>1</v>
          </cell>
          <cell r="BA131">
            <v>1</v>
          </cell>
          <cell r="BB131">
            <v>0</v>
          </cell>
          <cell r="BC131">
            <v>0</v>
          </cell>
          <cell r="BE131">
            <v>4595087</v>
          </cell>
          <cell r="BF131">
            <v>5971</v>
          </cell>
          <cell r="BG131">
            <v>4570</v>
          </cell>
          <cell r="BH131">
            <v>33</v>
          </cell>
          <cell r="BI131">
            <v>30650727</v>
          </cell>
          <cell r="BJ131">
            <v>41321770</v>
          </cell>
          <cell r="BL131">
            <v>123</v>
          </cell>
          <cell r="BM131">
            <v>140</v>
          </cell>
          <cell r="BN131">
            <v>196</v>
          </cell>
          <cell r="BO131">
            <v>42</v>
          </cell>
          <cell r="BP131">
            <v>25</v>
          </cell>
          <cell r="BQ131">
            <v>33</v>
          </cell>
        </row>
        <row r="132">
          <cell r="A132">
            <v>336</v>
          </cell>
          <cell r="B132" t="str">
            <v>336 - Holton</v>
          </cell>
          <cell r="C132" t="str">
            <v>Jackson</v>
          </cell>
          <cell r="D132">
            <v>65759981</v>
          </cell>
          <cell r="E132">
            <v>54798383</v>
          </cell>
          <cell r="F132">
            <v>69200260</v>
          </cell>
          <cell r="G132">
            <v>50575677</v>
          </cell>
          <cell r="H132">
            <v>1004.6</v>
          </cell>
          <cell r="I132">
            <v>1007.6</v>
          </cell>
          <cell r="J132">
            <v>164.5</v>
          </cell>
          <cell r="K132">
            <v>9261049</v>
          </cell>
          <cell r="L132">
            <v>1060.9000000000001</v>
          </cell>
          <cell r="M132">
            <v>1042.7</v>
          </cell>
          <cell r="N132">
            <v>1060.2</v>
          </cell>
          <cell r="O132">
            <v>1020.7</v>
          </cell>
          <cell r="P132">
            <v>654945</v>
          </cell>
          <cell r="Q132">
            <v>737764</v>
          </cell>
          <cell r="R132">
            <v>1987043</v>
          </cell>
          <cell r="S132">
            <v>991198</v>
          </cell>
          <cell r="T132">
            <v>10720</v>
          </cell>
          <cell r="U132">
            <v>11841</v>
          </cell>
          <cell r="V132">
            <v>0.16</v>
          </cell>
          <cell r="W132">
            <v>0.65</v>
          </cell>
          <cell r="X132">
            <v>386</v>
          </cell>
          <cell r="Y132">
            <v>73</v>
          </cell>
          <cell r="Z132">
            <v>0.64</v>
          </cell>
          <cell r="AA132">
            <v>0.09</v>
          </cell>
          <cell r="AB132">
            <v>0.61150000000000004</v>
          </cell>
          <cell r="AC132">
            <v>1490450</v>
          </cell>
          <cell r="AD132">
            <v>1425018</v>
          </cell>
          <cell r="AE132">
            <v>1425018</v>
          </cell>
          <cell r="AF132">
            <v>1017.7</v>
          </cell>
          <cell r="AG132">
            <v>1022.6</v>
          </cell>
          <cell r="AH132">
            <v>1021.6</v>
          </cell>
          <cell r="AI132">
            <v>999.2</v>
          </cell>
          <cell r="AJ132">
            <v>0</v>
          </cell>
          <cell r="AM132">
            <v>4</v>
          </cell>
          <cell r="AN132">
            <v>0</v>
          </cell>
          <cell r="AO132">
            <v>987.7</v>
          </cell>
          <cell r="AQ132">
            <v>0</v>
          </cell>
          <cell r="AT132">
            <v>0</v>
          </cell>
          <cell r="AU132">
            <v>0</v>
          </cell>
          <cell r="AV132">
            <v>8306784</v>
          </cell>
          <cell r="AW132">
            <v>353697</v>
          </cell>
          <cell r="AX132">
            <v>391001</v>
          </cell>
          <cell r="AY132">
            <v>1670396</v>
          </cell>
          <cell r="AZ132">
            <v>1</v>
          </cell>
          <cell r="BA132">
            <v>1</v>
          </cell>
          <cell r="BB132">
            <v>0</v>
          </cell>
          <cell r="BC132">
            <v>0</v>
          </cell>
          <cell r="BE132">
            <v>8523285</v>
          </cell>
          <cell r="BF132">
            <v>13503</v>
          </cell>
          <cell r="BG132">
            <v>5759</v>
          </cell>
          <cell r="BH132">
            <v>33</v>
          </cell>
          <cell r="BI132">
            <v>65443086</v>
          </cell>
          <cell r="BJ132">
            <v>68838207</v>
          </cell>
          <cell r="BL132">
            <v>340</v>
          </cell>
          <cell r="BM132">
            <v>406</v>
          </cell>
          <cell r="BN132">
            <v>429</v>
          </cell>
          <cell r="BO132">
            <v>53</v>
          </cell>
          <cell r="BP132">
            <v>87</v>
          </cell>
          <cell r="BQ132">
            <v>46</v>
          </cell>
        </row>
        <row r="133">
          <cell r="A133">
            <v>337</v>
          </cell>
          <cell r="B133" t="str">
            <v>337 - Royal Valley</v>
          </cell>
          <cell r="C133" t="str">
            <v>Jackson</v>
          </cell>
          <cell r="D133">
            <v>42317965</v>
          </cell>
          <cell r="E133">
            <v>35188761</v>
          </cell>
          <cell r="F133">
            <v>43864449</v>
          </cell>
          <cell r="G133">
            <v>31653541</v>
          </cell>
          <cell r="H133">
            <v>821.5</v>
          </cell>
          <cell r="I133">
            <v>823.1</v>
          </cell>
          <cell r="J133">
            <v>169</v>
          </cell>
          <cell r="K133">
            <v>8418877</v>
          </cell>
          <cell r="L133">
            <v>819</v>
          </cell>
          <cell r="M133">
            <v>832</v>
          </cell>
          <cell r="N133">
            <v>833.1</v>
          </cell>
          <cell r="O133">
            <v>836.2</v>
          </cell>
          <cell r="P133">
            <v>678883</v>
          </cell>
          <cell r="Q133">
            <v>783163</v>
          </cell>
          <cell r="R133">
            <v>1918669</v>
          </cell>
          <cell r="S133">
            <v>943887</v>
          </cell>
          <cell r="T133">
            <v>4991</v>
          </cell>
          <cell r="U133">
            <v>5572</v>
          </cell>
          <cell r="V133">
            <v>0.33</v>
          </cell>
          <cell r="W133">
            <v>0.8</v>
          </cell>
          <cell r="X133">
            <v>375</v>
          </cell>
          <cell r="Y133">
            <v>53</v>
          </cell>
          <cell r="Z133">
            <v>0.79</v>
          </cell>
          <cell r="AA133">
            <v>0.24</v>
          </cell>
          <cell r="AB133">
            <v>0.68579999999999997</v>
          </cell>
          <cell r="AC133">
            <v>918630</v>
          </cell>
          <cell r="AD133">
            <v>891407</v>
          </cell>
          <cell r="AE133">
            <v>891407</v>
          </cell>
          <cell r="AF133">
            <v>815</v>
          </cell>
          <cell r="AG133">
            <v>831</v>
          </cell>
          <cell r="AH133">
            <v>832.1</v>
          </cell>
          <cell r="AI133">
            <v>835.5</v>
          </cell>
          <cell r="AJ133">
            <v>0</v>
          </cell>
          <cell r="AM133">
            <v>5</v>
          </cell>
          <cell r="AN133">
            <v>1</v>
          </cell>
          <cell r="AO133">
            <v>831</v>
          </cell>
          <cell r="AQ133">
            <v>0</v>
          </cell>
          <cell r="AT133">
            <v>0</v>
          </cell>
          <cell r="AU133">
            <v>0</v>
          </cell>
          <cell r="AV133">
            <v>7156131</v>
          </cell>
          <cell r="AW133">
            <v>260679</v>
          </cell>
          <cell r="AX133">
            <v>278160</v>
          </cell>
          <cell r="AY133">
            <v>1771649</v>
          </cell>
          <cell r="AZ133">
            <v>1</v>
          </cell>
          <cell r="BA133">
            <v>1</v>
          </cell>
          <cell r="BB133">
            <v>35854</v>
          </cell>
          <cell r="BC133">
            <v>45000</v>
          </cell>
          <cell r="BE133">
            <v>7635714</v>
          </cell>
          <cell r="BF133">
            <v>5186</v>
          </cell>
          <cell r="BG133">
            <v>5213</v>
          </cell>
          <cell r="BH133">
            <v>33</v>
          </cell>
          <cell r="BI133">
            <v>42317965</v>
          </cell>
          <cell r="BJ133">
            <v>43657553</v>
          </cell>
          <cell r="BL133">
            <v>300</v>
          </cell>
          <cell r="BM133">
            <v>346</v>
          </cell>
          <cell r="BN133">
            <v>361</v>
          </cell>
          <cell r="BO133">
            <v>62</v>
          </cell>
          <cell r="BP133">
            <v>37</v>
          </cell>
          <cell r="BQ133">
            <v>49</v>
          </cell>
        </row>
        <row r="134">
          <cell r="A134">
            <v>338</v>
          </cell>
          <cell r="B134" t="str">
            <v>338 - Valley Falls</v>
          </cell>
          <cell r="C134" t="str">
            <v>Jefferson</v>
          </cell>
          <cell r="D134">
            <v>30397118</v>
          </cell>
          <cell r="E134">
            <v>26019033</v>
          </cell>
          <cell r="F134">
            <v>31832404</v>
          </cell>
          <cell r="G134">
            <v>24181747</v>
          </cell>
          <cell r="H134">
            <v>374.5</v>
          </cell>
          <cell r="I134">
            <v>366</v>
          </cell>
          <cell r="J134">
            <v>115</v>
          </cell>
          <cell r="K134">
            <v>3918949</v>
          </cell>
          <cell r="L134">
            <v>386.5</v>
          </cell>
          <cell r="M134">
            <v>377.8</v>
          </cell>
          <cell r="N134">
            <v>369</v>
          </cell>
          <cell r="O134">
            <v>363</v>
          </cell>
          <cell r="P134">
            <v>513547</v>
          </cell>
          <cell r="Q134">
            <v>546611</v>
          </cell>
          <cell r="R134">
            <v>705223</v>
          </cell>
          <cell r="S134">
            <v>430778</v>
          </cell>
          <cell r="T134">
            <v>15635</v>
          </cell>
          <cell r="U134">
            <v>19753</v>
          </cell>
          <cell r="V134">
            <v>0</v>
          </cell>
          <cell r="W134">
            <v>0.44</v>
          </cell>
          <cell r="X134">
            <v>92</v>
          </cell>
          <cell r="Y134">
            <v>29</v>
          </cell>
          <cell r="Z134">
            <v>0.43</v>
          </cell>
          <cell r="AA134">
            <v>0</v>
          </cell>
          <cell r="AB134">
            <v>0.49840000000000001</v>
          </cell>
          <cell r="AC134">
            <v>389515</v>
          </cell>
          <cell r="AD134">
            <v>366951</v>
          </cell>
          <cell r="AE134">
            <v>366951</v>
          </cell>
          <cell r="AF134">
            <v>386.5</v>
          </cell>
          <cell r="AG134">
            <v>377</v>
          </cell>
          <cell r="AH134">
            <v>369</v>
          </cell>
          <cell r="AI134">
            <v>363</v>
          </cell>
          <cell r="AJ134">
            <v>0</v>
          </cell>
          <cell r="AM134">
            <v>5</v>
          </cell>
          <cell r="AN134">
            <v>0</v>
          </cell>
          <cell r="AO134">
            <v>358.5</v>
          </cell>
          <cell r="AQ134">
            <v>0</v>
          </cell>
          <cell r="AT134">
            <v>0</v>
          </cell>
          <cell r="AU134">
            <v>0</v>
          </cell>
          <cell r="AV134">
            <v>3317734</v>
          </cell>
          <cell r="AW134">
            <v>129514</v>
          </cell>
          <cell r="AX134">
            <v>128169</v>
          </cell>
          <cell r="AY134">
            <v>722274</v>
          </cell>
          <cell r="AZ134">
            <v>1</v>
          </cell>
          <cell r="BA134">
            <v>1</v>
          </cell>
          <cell r="BB134">
            <v>0</v>
          </cell>
          <cell r="BC134">
            <v>0</v>
          </cell>
          <cell r="BE134">
            <v>3372338</v>
          </cell>
          <cell r="BF134">
            <v>1132</v>
          </cell>
          <cell r="BG134">
            <v>2096</v>
          </cell>
          <cell r="BH134">
            <v>33</v>
          </cell>
          <cell r="BI134">
            <v>30397118</v>
          </cell>
          <cell r="BJ134">
            <v>31832404</v>
          </cell>
          <cell r="BL134">
            <v>86</v>
          </cell>
          <cell r="BM134">
            <v>121</v>
          </cell>
          <cell r="BN134">
            <v>108</v>
          </cell>
          <cell r="BO134">
            <v>27</v>
          </cell>
          <cell r="BP134">
            <v>36</v>
          </cell>
          <cell r="BQ134">
            <v>29</v>
          </cell>
        </row>
        <row r="135">
          <cell r="A135">
            <v>339</v>
          </cell>
          <cell r="B135" t="str">
            <v>339 - Jefferson County North</v>
          </cell>
          <cell r="C135" t="str">
            <v>Jefferson</v>
          </cell>
          <cell r="D135">
            <v>33391143</v>
          </cell>
          <cell r="E135">
            <v>29108262</v>
          </cell>
          <cell r="F135">
            <v>34556377</v>
          </cell>
          <cell r="G135">
            <v>27115249</v>
          </cell>
          <cell r="H135">
            <v>418.5</v>
          </cell>
          <cell r="I135">
            <v>436.5</v>
          </cell>
          <cell r="J135">
            <v>114</v>
          </cell>
          <cell r="K135">
            <v>4738240</v>
          </cell>
          <cell r="L135">
            <v>435.5</v>
          </cell>
          <cell r="M135">
            <v>426.8</v>
          </cell>
          <cell r="N135">
            <v>443</v>
          </cell>
          <cell r="O135">
            <v>435.8</v>
          </cell>
          <cell r="P135">
            <v>674693</v>
          </cell>
          <cell r="Q135">
            <v>743643</v>
          </cell>
          <cell r="R135">
            <v>854535</v>
          </cell>
          <cell r="S135">
            <v>513194</v>
          </cell>
          <cell r="T135">
            <v>6880</v>
          </cell>
          <cell r="U135">
            <v>10039</v>
          </cell>
          <cell r="V135">
            <v>0.06</v>
          </cell>
          <cell r="W135">
            <v>0.53</v>
          </cell>
          <cell r="X135">
            <v>135</v>
          </cell>
          <cell r="Y135">
            <v>28</v>
          </cell>
          <cell r="Z135">
            <v>0.52</v>
          </cell>
          <cell r="AA135">
            <v>0</v>
          </cell>
          <cell r="AB135">
            <v>0.52700000000000002</v>
          </cell>
          <cell r="AC135">
            <v>445248</v>
          </cell>
          <cell r="AD135">
            <v>426023</v>
          </cell>
          <cell r="AE135">
            <v>426023</v>
          </cell>
          <cell r="AF135">
            <v>433.5</v>
          </cell>
          <cell r="AG135">
            <v>424</v>
          </cell>
          <cell r="AH135">
            <v>442</v>
          </cell>
          <cell r="AI135">
            <v>434.8</v>
          </cell>
          <cell r="AJ135">
            <v>0</v>
          </cell>
          <cell r="AM135">
            <v>2</v>
          </cell>
          <cell r="AN135">
            <v>0</v>
          </cell>
          <cell r="AO135">
            <v>431.8</v>
          </cell>
          <cell r="AQ135">
            <v>0</v>
          </cell>
          <cell r="AT135">
            <v>0</v>
          </cell>
          <cell r="AU135">
            <v>0</v>
          </cell>
          <cell r="AV135">
            <v>3780380</v>
          </cell>
          <cell r="AW135">
            <v>141490</v>
          </cell>
          <cell r="AX135">
            <v>160342</v>
          </cell>
          <cell r="AY135">
            <v>815135</v>
          </cell>
          <cell r="AZ135">
            <v>1</v>
          </cell>
          <cell r="BA135">
            <v>1</v>
          </cell>
          <cell r="BB135">
            <v>0</v>
          </cell>
          <cell r="BC135">
            <v>0</v>
          </cell>
          <cell r="BE135">
            <v>3994597</v>
          </cell>
          <cell r="BF135">
            <v>2299</v>
          </cell>
          <cell r="BG135">
            <v>1093</v>
          </cell>
          <cell r="BH135">
            <v>33</v>
          </cell>
          <cell r="BI135">
            <v>33391143</v>
          </cell>
          <cell r="BJ135">
            <v>34556377</v>
          </cell>
          <cell r="BL135">
            <v>111</v>
          </cell>
          <cell r="BM135">
            <v>129</v>
          </cell>
          <cell r="BN135">
            <v>133</v>
          </cell>
          <cell r="BO135">
            <v>27</v>
          </cell>
          <cell r="BP135">
            <v>20</v>
          </cell>
          <cell r="BQ135">
            <v>32</v>
          </cell>
        </row>
        <row r="136">
          <cell r="A136">
            <v>340</v>
          </cell>
          <cell r="B136" t="str">
            <v>340 - Jefferson West</v>
          </cell>
          <cell r="C136" t="str">
            <v>Jefferson</v>
          </cell>
          <cell r="D136">
            <v>67785776</v>
          </cell>
          <cell r="E136">
            <v>58038471</v>
          </cell>
          <cell r="F136">
            <v>72507727</v>
          </cell>
          <cell r="G136">
            <v>55204276</v>
          </cell>
          <cell r="H136">
            <v>817.5</v>
          </cell>
          <cell r="I136">
            <v>835.4</v>
          </cell>
          <cell r="J136">
            <v>68</v>
          </cell>
          <cell r="K136">
            <v>7948912</v>
          </cell>
          <cell r="L136">
            <v>797.5</v>
          </cell>
          <cell r="M136">
            <v>821.3</v>
          </cell>
          <cell r="N136">
            <v>1624.3</v>
          </cell>
          <cell r="O136">
            <v>833.9</v>
          </cell>
          <cell r="P136">
            <v>1079448</v>
          </cell>
          <cell r="Q136">
            <v>1189272</v>
          </cell>
          <cell r="R136">
            <v>1686095</v>
          </cell>
          <cell r="S136">
            <v>949082</v>
          </cell>
          <cell r="T136">
            <v>9573</v>
          </cell>
          <cell r="U136">
            <v>19780</v>
          </cell>
          <cell r="V136">
            <v>0</v>
          </cell>
          <cell r="W136">
            <v>0.45</v>
          </cell>
          <cell r="X136">
            <v>220</v>
          </cell>
          <cell r="Y136">
            <v>63</v>
          </cell>
          <cell r="Z136">
            <v>0.44</v>
          </cell>
          <cell r="AA136">
            <v>0</v>
          </cell>
          <cell r="AB136">
            <v>0.58530000000000004</v>
          </cell>
          <cell r="AC136">
            <v>784893</v>
          </cell>
          <cell r="AD136">
            <v>749647</v>
          </cell>
          <cell r="AE136">
            <v>749647</v>
          </cell>
          <cell r="AF136">
            <v>792.5</v>
          </cell>
          <cell r="AG136">
            <v>817.5</v>
          </cell>
          <cell r="AH136">
            <v>835.4</v>
          </cell>
          <cell r="AI136">
            <v>826.9</v>
          </cell>
          <cell r="AJ136">
            <v>0</v>
          </cell>
          <cell r="AM136">
            <v>12</v>
          </cell>
          <cell r="AN136">
            <v>1</v>
          </cell>
          <cell r="AO136">
            <v>826.9</v>
          </cell>
          <cell r="AQ136">
            <v>0</v>
          </cell>
          <cell r="AT136">
            <v>0</v>
          </cell>
          <cell r="AU136">
            <v>0</v>
          </cell>
          <cell r="AV136">
            <v>10720555</v>
          </cell>
          <cell r="AW136">
            <v>298257</v>
          </cell>
          <cell r="AX136">
            <v>527724</v>
          </cell>
          <cell r="AY136">
            <v>1426379</v>
          </cell>
          <cell r="AZ136">
            <v>1</v>
          </cell>
          <cell r="BA136">
            <v>1</v>
          </cell>
          <cell r="BB136">
            <v>0</v>
          </cell>
          <cell r="BC136">
            <v>0</v>
          </cell>
          <cell r="BE136">
            <v>6759640</v>
          </cell>
          <cell r="BF136">
            <v>1744</v>
          </cell>
          <cell r="BG136">
            <v>3483</v>
          </cell>
          <cell r="BH136">
            <v>33</v>
          </cell>
          <cell r="BI136">
            <v>67785776</v>
          </cell>
          <cell r="BJ136">
            <v>72507727</v>
          </cell>
          <cell r="BL136">
            <v>146</v>
          </cell>
          <cell r="BM136">
            <v>202</v>
          </cell>
          <cell r="BN136">
            <v>212</v>
          </cell>
          <cell r="BO136">
            <v>85</v>
          </cell>
          <cell r="BP136">
            <v>67</v>
          </cell>
          <cell r="BQ136">
            <v>77</v>
          </cell>
        </row>
        <row r="137">
          <cell r="A137">
            <v>341</v>
          </cell>
          <cell r="B137" t="str">
            <v>341 - Oskaloosa Public Schools</v>
          </cell>
          <cell r="C137" t="str">
            <v>Jefferson</v>
          </cell>
          <cell r="D137">
            <v>44160641</v>
          </cell>
          <cell r="E137">
            <v>36751506</v>
          </cell>
          <cell r="F137">
            <v>47121898</v>
          </cell>
          <cell r="G137">
            <v>34189731</v>
          </cell>
          <cell r="H137">
            <v>522.9</v>
          </cell>
          <cell r="I137">
            <v>508.5</v>
          </cell>
          <cell r="J137">
            <v>97</v>
          </cell>
          <cell r="K137">
            <v>5866322</v>
          </cell>
          <cell r="L137">
            <v>578.5</v>
          </cell>
          <cell r="M137">
            <v>537.4</v>
          </cell>
          <cell r="N137">
            <v>520.5</v>
          </cell>
          <cell r="O137">
            <v>480.5</v>
          </cell>
          <cell r="P137">
            <v>903268</v>
          </cell>
          <cell r="Q137">
            <v>918460</v>
          </cell>
          <cell r="R137">
            <v>1060234</v>
          </cell>
          <cell r="S137">
            <v>778649</v>
          </cell>
          <cell r="T137">
            <v>5766</v>
          </cell>
          <cell r="U137">
            <v>11086</v>
          </cell>
          <cell r="V137">
            <v>0</v>
          </cell>
          <cell r="W137">
            <v>0.34</v>
          </cell>
          <cell r="X137">
            <v>214</v>
          </cell>
          <cell r="Y137">
            <v>48</v>
          </cell>
          <cell r="Z137">
            <v>0.33</v>
          </cell>
          <cell r="AA137">
            <v>0</v>
          </cell>
          <cell r="AB137">
            <v>0.47149999999999997</v>
          </cell>
          <cell r="AC137">
            <v>611624</v>
          </cell>
          <cell r="AD137">
            <v>564904</v>
          </cell>
          <cell r="AE137">
            <v>564904</v>
          </cell>
          <cell r="AF137">
            <v>577.5</v>
          </cell>
          <cell r="AG137">
            <v>537.4</v>
          </cell>
          <cell r="AH137">
            <v>520.5</v>
          </cell>
          <cell r="AI137">
            <v>480.5</v>
          </cell>
          <cell r="AJ137">
            <v>0</v>
          </cell>
          <cell r="AM137">
            <v>3</v>
          </cell>
          <cell r="AN137">
            <v>1</v>
          </cell>
          <cell r="AO137">
            <v>474.5</v>
          </cell>
          <cell r="AQ137">
            <v>0</v>
          </cell>
          <cell r="AT137">
            <v>0</v>
          </cell>
          <cell r="AU137">
            <v>0</v>
          </cell>
          <cell r="AV137">
            <v>4840066</v>
          </cell>
          <cell r="AW137">
            <v>190774</v>
          </cell>
          <cell r="AX137">
            <v>180948</v>
          </cell>
          <cell r="AY137">
            <v>1120868</v>
          </cell>
          <cell r="AZ137">
            <v>1</v>
          </cell>
          <cell r="BA137">
            <v>1</v>
          </cell>
          <cell r="BB137">
            <v>0</v>
          </cell>
          <cell r="BC137">
            <v>0</v>
          </cell>
          <cell r="BE137">
            <v>4947862</v>
          </cell>
          <cell r="BF137">
            <v>681</v>
          </cell>
          <cell r="BG137">
            <v>0</v>
          </cell>
          <cell r="BH137">
            <v>33</v>
          </cell>
          <cell r="BI137">
            <v>44160641</v>
          </cell>
          <cell r="BJ137">
            <v>47121898</v>
          </cell>
          <cell r="BL137">
            <v>205</v>
          </cell>
          <cell r="BM137">
            <v>206</v>
          </cell>
          <cell r="BN137">
            <v>196</v>
          </cell>
          <cell r="BO137">
            <v>74</v>
          </cell>
          <cell r="BP137">
            <v>62</v>
          </cell>
          <cell r="BQ137">
            <v>61</v>
          </cell>
        </row>
        <row r="138">
          <cell r="A138">
            <v>342</v>
          </cell>
          <cell r="B138" t="str">
            <v>342 - McLouth</v>
          </cell>
          <cell r="C138" t="str">
            <v>Jefferson</v>
          </cell>
          <cell r="D138">
            <v>51274696</v>
          </cell>
          <cell r="E138">
            <v>44508860</v>
          </cell>
          <cell r="F138">
            <v>54485049</v>
          </cell>
          <cell r="G138">
            <v>42486862</v>
          </cell>
          <cell r="H138">
            <v>420</v>
          </cell>
          <cell r="I138">
            <v>409.5</v>
          </cell>
          <cell r="J138">
            <v>90</v>
          </cell>
          <cell r="K138">
            <v>4819764</v>
          </cell>
          <cell r="L138">
            <v>440</v>
          </cell>
          <cell r="M138">
            <v>432.5</v>
          </cell>
          <cell r="N138">
            <v>421.5</v>
          </cell>
          <cell r="O138">
            <v>419.6</v>
          </cell>
          <cell r="P138">
            <v>679323</v>
          </cell>
          <cell r="Q138">
            <v>710275</v>
          </cell>
          <cell r="R138">
            <v>499161</v>
          </cell>
          <cell r="S138">
            <v>653028</v>
          </cell>
          <cell r="T138">
            <v>7908</v>
          </cell>
          <cell r="U138">
            <v>9194</v>
          </cell>
          <cell r="V138">
            <v>0</v>
          </cell>
          <cell r="W138">
            <v>0.02</v>
          </cell>
          <cell r="X138">
            <v>186</v>
          </cell>
          <cell r="Y138">
            <v>30</v>
          </cell>
          <cell r="Z138">
            <v>0.01</v>
          </cell>
          <cell r="AA138">
            <v>0</v>
          </cell>
          <cell r="AB138">
            <v>0.25890000000000002</v>
          </cell>
          <cell r="AC138">
            <v>429380</v>
          </cell>
          <cell r="AD138">
            <v>393984</v>
          </cell>
          <cell r="AE138">
            <v>393984</v>
          </cell>
          <cell r="AF138">
            <v>439</v>
          </cell>
          <cell r="AG138">
            <v>432.5</v>
          </cell>
          <cell r="AH138">
            <v>421.5</v>
          </cell>
          <cell r="AI138">
            <v>419.6</v>
          </cell>
          <cell r="AJ138">
            <v>0</v>
          </cell>
          <cell r="AM138">
            <v>7</v>
          </cell>
          <cell r="AN138">
            <v>0</v>
          </cell>
          <cell r="AO138">
            <v>407.1</v>
          </cell>
          <cell r="AQ138">
            <v>0</v>
          </cell>
          <cell r="AT138">
            <v>0</v>
          </cell>
          <cell r="AU138">
            <v>0</v>
          </cell>
          <cell r="AV138">
            <v>3954922</v>
          </cell>
          <cell r="AW138">
            <v>45310</v>
          </cell>
          <cell r="AX138">
            <v>22922</v>
          </cell>
          <cell r="AY138">
            <v>554627</v>
          </cell>
          <cell r="AZ138">
            <v>1</v>
          </cell>
          <cell r="BA138">
            <v>1</v>
          </cell>
          <cell r="BB138">
            <v>0</v>
          </cell>
          <cell r="BC138">
            <v>0</v>
          </cell>
          <cell r="BE138">
            <v>4109102</v>
          </cell>
          <cell r="BF138">
            <v>41</v>
          </cell>
          <cell r="BG138">
            <v>0</v>
          </cell>
          <cell r="BH138">
            <v>33</v>
          </cell>
          <cell r="BI138">
            <v>51274696</v>
          </cell>
          <cell r="BJ138">
            <v>54485049</v>
          </cell>
          <cell r="BL138">
            <v>106</v>
          </cell>
          <cell r="BM138">
            <v>165</v>
          </cell>
          <cell r="BN138">
            <v>172</v>
          </cell>
          <cell r="BO138">
            <v>58</v>
          </cell>
          <cell r="BP138">
            <v>34</v>
          </cell>
          <cell r="BQ138">
            <v>27</v>
          </cell>
        </row>
        <row r="139">
          <cell r="A139">
            <v>343</v>
          </cell>
          <cell r="B139" t="str">
            <v>343 - Perry Public Schools</v>
          </cell>
          <cell r="C139" t="str">
            <v>Jefferson</v>
          </cell>
          <cell r="D139">
            <v>112396219</v>
          </cell>
          <cell r="E139">
            <v>101880991</v>
          </cell>
          <cell r="F139">
            <v>120179446</v>
          </cell>
          <cell r="G139">
            <v>101727624</v>
          </cell>
          <cell r="H139">
            <v>729.3</v>
          </cell>
          <cell r="I139">
            <v>751.1</v>
          </cell>
          <cell r="J139">
            <v>153.1</v>
          </cell>
          <cell r="K139">
            <v>7601512</v>
          </cell>
          <cell r="L139">
            <v>751.3</v>
          </cell>
          <cell r="M139">
            <v>749.1</v>
          </cell>
          <cell r="N139">
            <v>766.6</v>
          </cell>
          <cell r="O139">
            <v>759.9</v>
          </cell>
          <cell r="P139">
            <v>909607</v>
          </cell>
          <cell r="Q139">
            <v>975563</v>
          </cell>
          <cell r="R139">
            <v>409205</v>
          </cell>
          <cell r="S139">
            <v>979752</v>
          </cell>
          <cell r="T139">
            <v>5972</v>
          </cell>
          <cell r="U139">
            <v>6609</v>
          </cell>
          <cell r="V139">
            <v>0</v>
          </cell>
          <cell r="W139">
            <v>0</v>
          </cell>
          <cell r="X139">
            <v>247</v>
          </cell>
          <cell r="Y139">
            <v>46</v>
          </cell>
          <cell r="Z139">
            <v>0</v>
          </cell>
          <cell r="AA139">
            <v>0</v>
          </cell>
          <cell r="AB139">
            <v>9.6600000000000005E-2</v>
          </cell>
          <cell r="AC139">
            <v>703026</v>
          </cell>
          <cell r="AD139">
            <v>658615</v>
          </cell>
          <cell r="AE139">
            <v>658615</v>
          </cell>
          <cell r="AF139">
            <v>738.6</v>
          </cell>
          <cell r="AG139">
            <v>734.3</v>
          </cell>
          <cell r="AH139">
            <v>752.6</v>
          </cell>
          <cell r="AI139">
            <v>749.1</v>
          </cell>
          <cell r="AJ139">
            <v>5.5999999999999999E-3</v>
          </cell>
          <cell r="AM139">
            <v>0</v>
          </cell>
          <cell r="AN139">
            <v>1</v>
          </cell>
          <cell r="AO139">
            <v>737.6</v>
          </cell>
          <cell r="AQ139">
            <v>0</v>
          </cell>
          <cell r="AT139">
            <v>0</v>
          </cell>
          <cell r="AU139">
            <v>0</v>
          </cell>
          <cell r="AV139">
            <v>6179056</v>
          </cell>
          <cell r="AW139">
            <v>0</v>
          </cell>
          <cell r="AX139">
            <v>0</v>
          </cell>
          <cell r="AY139">
            <v>471893</v>
          </cell>
          <cell r="AZ139">
            <v>1</v>
          </cell>
          <cell r="BA139">
            <v>1</v>
          </cell>
          <cell r="BB139">
            <v>0</v>
          </cell>
          <cell r="BC139">
            <v>0</v>
          </cell>
          <cell r="BE139">
            <v>6625949</v>
          </cell>
          <cell r="BF139">
            <v>237</v>
          </cell>
          <cell r="BG139">
            <v>310</v>
          </cell>
          <cell r="BH139">
            <v>33</v>
          </cell>
          <cell r="BI139">
            <v>112396219</v>
          </cell>
          <cell r="BJ139">
            <v>120179446</v>
          </cell>
          <cell r="BL139">
            <v>185</v>
          </cell>
          <cell r="BM139">
            <v>254</v>
          </cell>
          <cell r="BN139">
            <v>256</v>
          </cell>
          <cell r="BO139">
            <v>53</v>
          </cell>
          <cell r="BP139">
            <v>39</v>
          </cell>
          <cell r="BQ139">
            <v>47</v>
          </cell>
        </row>
        <row r="140">
          <cell r="A140">
            <v>344</v>
          </cell>
          <cell r="B140" t="str">
            <v>344 - Pleasanton</v>
          </cell>
          <cell r="C140" t="str">
            <v>Linn</v>
          </cell>
          <cell r="D140">
            <v>24640443</v>
          </cell>
          <cell r="E140">
            <v>20877595</v>
          </cell>
          <cell r="F140">
            <v>27310597</v>
          </cell>
          <cell r="G140">
            <v>21262255</v>
          </cell>
          <cell r="H140">
            <v>328.5</v>
          </cell>
          <cell r="I140">
            <v>321.2</v>
          </cell>
          <cell r="J140">
            <v>92.5</v>
          </cell>
          <cell r="K140">
            <v>3707055</v>
          </cell>
          <cell r="L140">
            <v>346.5</v>
          </cell>
          <cell r="M140">
            <v>337</v>
          </cell>
          <cell r="N140">
            <v>331.2</v>
          </cell>
          <cell r="O140">
            <v>343.7</v>
          </cell>
          <cell r="P140">
            <v>422452</v>
          </cell>
          <cell r="Q140">
            <v>356155</v>
          </cell>
          <cell r="R140">
            <v>707605</v>
          </cell>
          <cell r="S140">
            <v>215399</v>
          </cell>
          <cell r="T140">
            <v>0</v>
          </cell>
          <cell r="U140">
            <v>0</v>
          </cell>
          <cell r="V140">
            <v>0.06</v>
          </cell>
          <cell r="W140">
            <v>0.53</v>
          </cell>
          <cell r="X140">
            <v>173</v>
          </cell>
          <cell r="Y140">
            <v>51</v>
          </cell>
          <cell r="Z140">
            <v>0.52</v>
          </cell>
          <cell r="AA140">
            <v>0</v>
          </cell>
          <cell r="AB140">
            <v>0.54149999999999998</v>
          </cell>
          <cell r="AC140">
            <v>348086</v>
          </cell>
          <cell r="AD140">
            <v>340209</v>
          </cell>
          <cell r="AE140">
            <v>340209</v>
          </cell>
          <cell r="AF140">
            <v>346.5</v>
          </cell>
          <cell r="AG140">
            <v>337</v>
          </cell>
          <cell r="AH140">
            <v>331.2</v>
          </cell>
          <cell r="AI140">
            <v>343.7</v>
          </cell>
          <cell r="AJ140">
            <v>0</v>
          </cell>
          <cell r="AM140">
            <v>0</v>
          </cell>
          <cell r="AN140">
            <v>0</v>
          </cell>
          <cell r="AO140">
            <v>329.7</v>
          </cell>
          <cell r="AQ140">
            <v>0</v>
          </cell>
          <cell r="AT140">
            <v>0</v>
          </cell>
          <cell r="AU140">
            <v>0</v>
          </cell>
          <cell r="AV140">
            <v>3193699</v>
          </cell>
          <cell r="AW140">
            <v>116241</v>
          </cell>
          <cell r="AX140">
            <v>128901</v>
          </cell>
          <cell r="AY140">
            <v>709445</v>
          </cell>
          <cell r="AZ140">
            <v>1</v>
          </cell>
          <cell r="BA140">
            <v>1</v>
          </cell>
          <cell r="BB140">
            <v>0</v>
          </cell>
          <cell r="BC140">
            <v>0</v>
          </cell>
          <cell r="BE140">
            <v>3350900</v>
          </cell>
          <cell r="BF140">
            <v>60</v>
          </cell>
          <cell r="BG140">
            <v>61</v>
          </cell>
          <cell r="BH140">
            <v>33</v>
          </cell>
          <cell r="BI140">
            <v>24640443</v>
          </cell>
          <cell r="BJ140">
            <v>27310597</v>
          </cell>
          <cell r="BL140">
            <v>159</v>
          </cell>
          <cell r="BM140">
            <v>162</v>
          </cell>
          <cell r="BN140">
            <v>161</v>
          </cell>
          <cell r="BO140">
            <v>55</v>
          </cell>
          <cell r="BP140">
            <v>50</v>
          </cell>
          <cell r="BQ140">
            <v>23</v>
          </cell>
        </row>
        <row r="141">
          <cell r="A141">
            <v>345</v>
          </cell>
          <cell r="B141" t="str">
            <v>345 - Seaman</v>
          </cell>
          <cell r="C141" t="str">
            <v>Shawnee</v>
          </cell>
          <cell r="D141">
            <v>354189410</v>
          </cell>
          <cell r="E141">
            <v>317406287</v>
          </cell>
          <cell r="F141">
            <v>371061334</v>
          </cell>
          <cell r="G141">
            <v>306975542</v>
          </cell>
          <cell r="H141">
            <v>3665.3</v>
          </cell>
          <cell r="I141">
            <v>3569.2</v>
          </cell>
          <cell r="J141">
            <v>84</v>
          </cell>
          <cell r="K141">
            <v>31787877</v>
          </cell>
          <cell r="L141">
            <v>3759.4</v>
          </cell>
          <cell r="M141">
            <v>3740.9</v>
          </cell>
          <cell r="N141">
            <v>3656.2</v>
          </cell>
          <cell r="O141">
            <v>3570.1</v>
          </cell>
          <cell r="P141">
            <v>5501725</v>
          </cell>
          <cell r="Q141">
            <v>5898736</v>
          </cell>
          <cell r="R141">
            <v>4579148</v>
          </cell>
          <cell r="S141">
            <v>3447701</v>
          </cell>
          <cell r="T141">
            <v>10165</v>
          </cell>
          <cell r="U141">
            <v>11944</v>
          </cell>
          <cell r="V141">
            <v>0</v>
          </cell>
          <cell r="W141">
            <v>0.26</v>
          </cell>
          <cell r="X141">
            <v>1277</v>
          </cell>
          <cell r="Y141">
            <v>215</v>
          </cell>
          <cell r="Z141">
            <v>0.27</v>
          </cell>
          <cell r="AA141">
            <v>0</v>
          </cell>
          <cell r="AB141">
            <v>0.3992</v>
          </cell>
          <cell r="AC141">
            <v>3997041</v>
          </cell>
          <cell r="AD141">
            <v>3906318</v>
          </cell>
          <cell r="AE141">
            <v>3906318</v>
          </cell>
          <cell r="AF141">
            <v>3728.6</v>
          </cell>
          <cell r="AG141">
            <v>3724.8</v>
          </cell>
          <cell r="AH141">
            <v>3628.7</v>
          </cell>
          <cell r="AI141">
            <v>3546.7</v>
          </cell>
          <cell r="AJ141">
            <v>0</v>
          </cell>
          <cell r="AM141">
            <v>0</v>
          </cell>
          <cell r="AN141">
            <v>0</v>
          </cell>
          <cell r="AO141">
            <v>3484.7</v>
          </cell>
          <cell r="AQ141">
            <v>0</v>
          </cell>
          <cell r="AT141">
            <v>0</v>
          </cell>
          <cell r="AU141">
            <v>0</v>
          </cell>
          <cell r="AV141">
            <v>24609934</v>
          </cell>
          <cell r="AW141">
            <v>1037826</v>
          </cell>
          <cell r="AX141">
            <v>1046725</v>
          </cell>
          <cell r="AY141">
            <v>4544367</v>
          </cell>
          <cell r="AZ141">
            <v>1</v>
          </cell>
          <cell r="BA141">
            <v>1</v>
          </cell>
          <cell r="BB141">
            <v>0</v>
          </cell>
          <cell r="BC141">
            <v>0</v>
          </cell>
          <cell r="BE141">
            <v>25889141</v>
          </cell>
          <cell r="BF141">
            <v>3014</v>
          </cell>
          <cell r="BG141">
            <v>0</v>
          </cell>
          <cell r="BH141">
            <v>33</v>
          </cell>
          <cell r="BI141">
            <v>358412426</v>
          </cell>
          <cell r="BJ141">
            <v>376845043</v>
          </cell>
          <cell r="BL141">
            <v>913</v>
          </cell>
          <cell r="BM141">
            <v>1227</v>
          </cell>
          <cell r="BN141">
            <v>1231</v>
          </cell>
          <cell r="BO141">
            <v>336</v>
          </cell>
          <cell r="BP141">
            <v>197</v>
          </cell>
          <cell r="BQ141">
            <v>223</v>
          </cell>
        </row>
        <row r="142">
          <cell r="A142">
            <v>346</v>
          </cell>
          <cell r="B142" t="str">
            <v>346 - Jayhawk</v>
          </cell>
          <cell r="C142" t="str">
            <v>Linn</v>
          </cell>
          <cell r="D142">
            <v>74780121</v>
          </cell>
          <cell r="E142">
            <v>66173196</v>
          </cell>
          <cell r="F142">
            <v>83465279</v>
          </cell>
          <cell r="G142">
            <v>69465338</v>
          </cell>
          <cell r="H142">
            <v>539.79999999999995</v>
          </cell>
          <cell r="I142">
            <v>555.79999999999995</v>
          </cell>
          <cell r="J142">
            <v>302</v>
          </cell>
          <cell r="K142">
            <v>6353475</v>
          </cell>
          <cell r="L142">
            <v>530.5</v>
          </cell>
          <cell r="M142">
            <v>552.6</v>
          </cell>
          <cell r="N142">
            <v>568.6</v>
          </cell>
          <cell r="O142">
            <v>552.5</v>
          </cell>
          <cell r="P142">
            <v>838776</v>
          </cell>
          <cell r="Q142">
            <v>873957</v>
          </cell>
          <cell r="R142">
            <v>402714</v>
          </cell>
          <cell r="S142">
            <v>487029</v>
          </cell>
          <cell r="T142">
            <v>4796</v>
          </cell>
          <cell r="U142">
            <v>3148</v>
          </cell>
          <cell r="V142">
            <v>0</v>
          </cell>
          <cell r="W142">
            <v>0</v>
          </cell>
          <cell r="X142">
            <v>260</v>
          </cell>
          <cell r="Y142">
            <v>60</v>
          </cell>
          <cell r="Z142">
            <v>0</v>
          </cell>
          <cell r="AA142">
            <v>0</v>
          </cell>
          <cell r="AB142">
            <v>0.15440000000000001</v>
          </cell>
          <cell r="AC142">
            <v>606269</v>
          </cell>
          <cell r="AD142">
            <v>592184</v>
          </cell>
          <cell r="AE142">
            <v>592184</v>
          </cell>
          <cell r="AF142">
            <v>527.5</v>
          </cell>
          <cell r="AG142">
            <v>549.79999999999995</v>
          </cell>
          <cell r="AH142">
            <v>566.79999999999995</v>
          </cell>
          <cell r="AI142">
            <v>550.5</v>
          </cell>
          <cell r="AJ142">
            <v>0</v>
          </cell>
          <cell r="AM142">
            <v>8</v>
          </cell>
          <cell r="AN142">
            <v>0</v>
          </cell>
          <cell r="AO142">
            <v>543</v>
          </cell>
          <cell r="AQ142">
            <v>0</v>
          </cell>
          <cell r="AT142">
            <v>0</v>
          </cell>
          <cell r="AU142">
            <v>0</v>
          </cell>
          <cell r="AV142">
            <v>5271060</v>
          </cell>
          <cell r="AW142">
            <v>11961</v>
          </cell>
          <cell r="AX142">
            <v>0</v>
          </cell>
          <cell r="AY142">
            <v>409765</v>
          </cell>
          <cell r="AZ142">
            <v>1</v>
          </cell>
          <cell r="BA142">
            <v>1</v>
          </cell>
          <cell r="BB142">
            <v>0</v>
          </cell>
          <cell r="BC142">
            <v>0</v>
          </cell>
          <cell r="BE142">
            <v>5479435</v>
          </cell>
          <cell r="BF142">
            <v>3355</v>
          </cell>
          <cell r="BG142">
            <v>3587</v>
          </cell>
          <cell r="BH142">
            <v>33</v>
          </cell>
          <cell r="BI142">
            <v>74780121</v>
          </cell>
          <cell r="BJ142">
            <v>83465279</v>
          </cell>
          <cell r="BL142">
            <v>218</v>
          </cell>
          <cell r="BM142">
            <v>267</v>
          </cell>
          <cell r="BN142">
            <v>296</v>
          </cell>
          <cell r="BO142">
            <v>72</v>
          </cell>
          <cell r="BP142">
            <v>69</v>
          </cell>
          <cell r="BQ142">
            <v>55</v>
          </cell>
        </row>
        <row r="143">
          <cell r="A143">
            <v>347</v>
          </cell>
          <cell r="B143" t="str">
            <v>347 - Kinsley-Offerle</v>
          </cell>
          <cell r="C143" t="str">
            <v>Edwards</v>
          </cell>
          <cell r="D143">
            <v>33402674</v>
          </cell>
          <cell r="E143">
            <v>29528734</v>
          </cell>
          <cell r="F143">
            <v>32453000</v>
          </cell>
          <cell r="G143">
            <v>27084533</v>
          </cell>
          <cell r="H143">
            <v>272.5</v>
          </cell>
          <cell r="I143">
            <v>273</v>
          </cell>
          <cell r="J143">
            <v>340</v>
          </cell>
          <cell r="K143">
            <v>3181625</v>
          </cell>
          <cell r="L143">
            <v>287.5</v>
          </cell>
          <cell r="M143">
            <v>275.5</v>
          </cell>
          <cell r="N143">
            <v>278</v>
          </cell>
          <cell r="O143">
            <v>238</v>
          </cell>
          <cell r="P143">
            <v>321939</v>
          </cell>
          <cell r="Q143">
            <v>352588</v>
          </cell>
          <cell r="R143">
            <v>302086</v>
          </cell>
          <cell r="S143">
            <v>388779</v>
          </cell>
          <cell r="T143">
            <v>7972</v>
          </cell>
          <cell r="U143">
            <v>8914</v>
          </cell>
          <cell r="V143">
            <v>0</v>
          </cell>
          <cell r="W143">
            <v>0</v>
          </cell>
          <cell r="X143">
            <v>110</v>
          </cell>
          <cell r="Y143">
            <v>16</v>
          </cell>
          <cell r="Z143">
            <v>0</v>
          </cell>
          <cell r="AA143">
            <v>0</v>
          </cell>
          <cell r="AB143">
            <v>0.2397</v>
          </cell>
          <cell r="AC143">
            <v>343495</v>
          </cell>
          <cell r="AD143">
            <v>314021</v>
          </cell>
          <cell r="AE143">
            <v>314021</v>
          </cell>
          <cell r="AF143">
            <v>287.5</v>
          </cell>
          <cell r="AG143">
            <v>275.5</v>
          </cell>
          <cell r="AH143">
            <v>278</v>
          </cell>
          <cell r="AI143">
            <v>238</v>
          </cell>
          <cell r="AJ143">
            <v>0</v>
          </cell>
          <cell r="AM143">
            <v>0</v>
          </cell>
          <cell r="AN143">
            <v>0</v>
          </cell>
          <cell r="AO143">
            <v>236</v>
          </cell>
          <cell r="AQ143">
            <v>0</v>
          </cell>
          <cell r="AT143">
            <v>0</v>
          </cell>
          <cell r="AU143">
            <v>0</v>
          </cell>
          <cell r="AV143">
            <v>2808818</v>
          </cell>
          <cell r="AW143">
            <v>34960</v>
          </cell>
          <cell r="AX143">
            <v>33363</v>
          </cell>
          <cell r="AY143">
            <v>288282</v>
          </cell>
          <cell r="AZ143">
            <v>1</v>
          </cell>
          <cell r="BA143">
            <v>1</v>
          </cell>
          <cell r="BB143">
            <v>0</v>
          </cell>
          <cell r="BC143">
            <v>0</v>
          </cell>
          <cell r="BE143">
            <v>2826872</v>
          </cell>
          <cell r="BF143">
            <v>4722</v>
          </cell>
          <cell r="BG143">
            <v>1008</v>
          </cell>
          <cell r="BH143">
            <v>33</v>
          </cell>
          <cell r="BI143">
            <v>33035581</v>
          </cell>
          <cell r="BJ143">
            <v>32083411</v>
          </cell>
          <cell r="BL143">
            <v>115</v>
          </cell>
          <cell r="BM143">
            <v>129</v>
          </cell>
          <cell r="BN143">
            <v>129</v>
          </cell>
          <cell r="BO143">
            <v>20</v>
          </cell>
          <cell r="BP143">
            <v>33</v>
          </cell>
          <cell r="BQ143">
            <v>23</v>
          </cell>
        </row>
        <row r="144">
          <cell r="A144">
            <v>348</v>
          </cell>
          <cell r="B144" t="str">
            <v>348 - Baldwin City</v>
          </cell>
          <cell r="C144" t="str">
            <v>Douglas</v>
          </cell>
          <cell r="D144">
            <v>138701837</v>
          </cell>
          <cell r="E144">
            <v>123909631</v>
          </cell>
          <cell r="F144">
            <v>151743789</v>
          </cell>
          <cell r="G144">
            <v>125413722</v>
          </cell>
          <cell r="H144">
            <v>1261.7</v>
          </cell>
          <cell r="I144">
            <v>1306.3</v>
          </cell>
          <cell r="J144">
            <v>139</v>
          </cell>
          <cell r="K144">
            <v>11562781</v>
          </cell>
          <cell r="L144">
            <v>1281.5</v>
          </cell>
          <cell r="M144">
            <v>1321.9</v>
          </cell>
          <cell r="N144">
            <v>1361.2</v>
          </cell>
          <cell r="O144">
            <v>1333.3</v>
          </cell>
          <cell r="P144">
            <v>1465213</v>
          </cell>
          <cell r="Q144">
            <v>1756142</v>
          </cell>
          <cell r="R144">
            <v>1441517</v>
          </cell>
          <cell r="S144">
            <v>1163351</v>
          </cell>
          <cell r="T144">
            <v>165</v>
          </cell>
          <cell r="U144">
            <v>0</v>
          </cell>
          <cell r="V144">
            <v>0</v>
          </cell>
          <cell r="W144">
            <v>0.2</v>
          </cell>
          <cell r="X144">
            <v>317</v>
          </cell>
          <cell r="Y144">
            <v>119</v>
          </cell>
          <cell r="Z144">
            <v>0.19</v>
          </cell>
          <cell r="AA144">
            <v>0</v>
          </cell>
          <cell r="AB144">
            <v>0.36320000000000002</v>
          </cell>
          <cell r="AC144">
            <v>1099600</v>
          </cell>
          <cell r="AD144">
            <v>1039131</v>
          </cell>
          <cell r="AE144">
            <v>1039131</v>
          </cell>
          <cell r="AF144">
            <v>1238.8</v>
          </cell>
          <cell r="AG144">
            <v>1286.2</v>
          </cell>
          <cell r="AH144">
            <v>1332.8</v>
          </cell>
          <cell r="AI144">
            <v>1302.9000000000001</v>
          </cell>
          <cell r="AJ144">
            <v>2.7199999999999998E-2</v>
          </cell>
          <cell r="AM144">
            <v>27</v>
          </cell>
          <cell r="AN144">
            <v>0</v>
          </cell>
          <cell r="AO144">
            <v>1288.4000000000001</v>
          </cell>
          <cell r="AQ144">
            <v>0</v>
          </cell>
          <cell r="AT144">
            <v>0</v>
          </cell>
          <cell r="AU144">
            <v>0</v>
          </cell>
          <cell r="AV144">
            <v>9137291</v>
          </cell>
          <cell r="AW144">
            <v>299544</v>
          </cell>
          <cell r="AX144">
            <v>348078</v>
          </cell>
          <cell r="AY144">
            <v>1414344</v>
          </cell>
          <cell r="AZ144">
            <v>1</v>
          </cell>
          <cell r="BA144">
            <v>1</v>
          </cell>
          <cell r="BB144">
            <v>117435</v>
          </cell>
          <cell r="BC144">
            <v>117670</v>
          </cell>
          <cell r="BE144">
            <v>9806476</v>
          </cell>
          <cell r="BF144">
            <v>1413</v>
          </cell>
          <cell r="BG144">
            <v>1450</v>
          </cell>
          <cell r="BH144">
            <v>33</v>
          </cell>
          <cell r="BI144">
            <v>136363247</v>
          </cell>
          <cell r="BJ144">
            <v>148917264</v>
          </cell>
          <cell r="BL144">
            <v>222</v>
          </cell>
          <cell r="BM144">
            <v>290</v>
          </cell>
          <cell r="BN144">
            <v>327</v>
          </cell>
          <cell r="BO144">
            <v>112</v>
          </cell>
          <cell r="BP144">
            <v>55</v>
          </cell>
          <cell r="BQ144">
            <v>118</v>
          </cell>
        </row>
        <row r="145">
          <cell r="A145">
            <v>349</v>
          </cell>
          <cell r="B145" t="str">
            <v>349 - Stafford</v>
          </cell>
          <cell r="C145" t="str">
            <v>Stafford</v>
          </cell>
          <cell r="D145">
            <v>25482484</v>
          </cell>
          <cell r="E145">
            <v>22661538</v>
          </cell>
          <cell r="F145">
            <v>24870626</v>
          </cell>
          <cell r="G145">
            <v>20784794</v>
          </cell>
          <cell r="H145">
            <v>248.3</v>
          </cell>
          <cell r="I145">
            <v>235.2</v>
          </cell>
          <cell r="J145">
            <v>242</v>
          </cell>
          <cell r="K145">
            <v>3089123</v>
          </cell>
          <cell r="L145">
            <v>256</v>
          </cell>
          <cell r="M145">
            <v>253.3</v>
          </cell>
          <cell r="N145">
            <v>241.7</v>
          </cell>
          <cell r="O145">
            <v>251.7</v>
          </cell>
          <cell r="P145">
            <v>349725</v>
          </cell>
          <cell r="Q145">
            <v>409991</v>
          </cell>
          <cell r="R145">
            <v>365238</v>
          </cell>
          <cell r="S145">
            <v>271072</v>
          </cell>
          <cell r="T145">
            <v>0</v>
          </cell>
          <cell r="U145">
            <v>0</v>
          </cell>
          <cell r="V145">
            <v>0</v>
          </cell>
          <cell r="W145">
            <v>0.34</v>
          </cell>
          <cell r="X145">
            <v>126</v>
          </cell>
          <cell r="Y145">
            <v>16</v>
          </cell>
          <cell r="Z145">
            <v>0.33</v>
          </cell>
          <cell r="AA145">
            <v>0</v>
          </cell>
          <cell r="AB145">
            <v>0.37269999999999998</v>
          </cell>
          <cell r="AC145">
            <v>341301</v>
          </cell>
          <cell r="AD145">
            <v>317141</v>
          </cell>
          <cell r="AE145">
            <v>317141</v>
          </cell>
          <cell r="AF145">
            <v>256</v>
          </cell>
          <cell r="AG145">
            <v>253.3</v>
          </cell>
          <cell r="AH145">
            <v>241.7</v>
          </cell>
          <cell r="AI145">
            <v>251.7</v>
          </cell>
          <cell r="AJ145">
            <v>0</v>
          </cell>
          <cell r="AM145">
            <v>0</v>
          </cell>
          <cell r="AN145">
            <v>0</v>
          </cell>
          <cell r="AO145">
            <v>244.2</v>
          </cell>
          <cell r="AQ145">
            <v>0</v>
          </cell>
          <cell r="AT145">
            <v>0</v>
          </cell>
          <cell r="AU145">
            <v>0</v>
          </cell>
          <cell r="AV145">
            <v>2597143</v>
          </cell>
          <cell r="AW145">
            <v>54777</v>
          </cell>
          <cell r="AX145">
            <v>48373</v>
          </cell>
          <cell r="AY145">
            <v>330560</v>
          </cell>
          <cell r="AZ145">
            <v>1</v>
          </cell>
          <cell r="BA145">
            <v>1</v>
          </cell>
          <cell r="BB145">
            <v>23800</v>
          </cell>
          <cell r="BC145">
            <v>23800</v>
          </cell>
          <cell r="BE145">
            <v>2675671</v>
          </cell>
          <cell r="BF145">
            <v>1653</v>
          </cell>
          <cell r="BG145">
            <v>2259</v>
          </cell>
          <cell r="BH145">
            <v>33</v>
          </cell>
          <cell r="BI145">
            <v>25482484</v>
          </cell>
          <cell r="BJ145">
            <v>24570999</v>
          </cell>
          <cell r="BL145">
            <v>76</v>
          </cell>
          <cell r="BM145">
            <v>121</v>
          </cell>
          <cell r="BN145">
            <v>131</v>
          </cell>
          <cell r="BO145">
            <v>37</v>
          </cell>
          <cell r="BP145">
            <v>28</v>
          </cell>
          <cell r="BQ145">
            <v>17</v>
          </cell>
        </row>
        <row r="146">
          <cell r="A146">
            <v>350</v>
          </cell>
          <cell r="B146" t="str">
            <v>350 - St John-Hudson</v>
          </cell>
          <cell r="C146" t="str">
            <v>Stafford</v>
          </cell>
          <cell r="D146">
            <v>47917982</v>
          </cell>
          <cell r="E146">
            <v>44011991</v>
          </cell>
          <cell r="F146">
            <v>43943942</v>
          </cell>
          <cell r="G146">
            <v>37892068</v>
          </cell>
          <cell r="H146">
            <v>304</v>
          </cell>
          <cell r="I146">
            <v>308.60000000000002</v>
          </cell>
          <cell r="J146">
            <v>308.3</v>
          </cell>
          <cell r="K146">
            <v>3583361</v>
          </cell>
          <cell r="L146">
            <v>310</v>
          </cell>
          <cell r="M146">
            <v>311</v>
          </cell>
          <cell r="N146">
            <v>313.60000000000002</v>
          </cell>
          <cell r="O146">
            <v>327.39999999999998</v>
          </cell>
          <cell r="P146">
            <v>431383</v>
          </cell>
          <cell r="Q146">
            <v>468088</v>
          </cell>
          <cell r="R146">
            <v>132717</v>
          </cell>
          <cell r="S146">
            <v>393541</v>
          </cell>
          <cell r="T146">
            <v>0</v>
          </cell>
          <cell r="U146">
            <v>0</v>
          </cell>
          <cell r="V146">
            <v>0</v>
          </cell>
          <cell r="W146">
            <v>0</v>
          </cell>
          <cell r="X146">
            <v>129</v>
          </cell>
          <cell r="Y146">
            <v>17</v>
          </cell>
          <cell r="Z146">
            <v>0</v>
          </cell>
          <cell r="AA146">
            <v>0</v>
          </cell>
          <cell r="AB146">
            <v>0.1164</v>
          </cell>
          <cell r="AC146">
            <v>345956</v>
          </cell>
          <cell r="AD146">
            <v>330613</v>
          </cell>
          <cell r="AE146">
            <v>330613</v>
          </cell>
          <cell r="AF146">
            <v>310</v>
          </cell>
          <cell r="AG146">
            <v>311</v>
          </cell>
          <cell r="AH146">
            <v>313.60000000000002</v>
          </cell>
          <cell r="AI146">
            <v>327.39999999999998</v>
          </cell>
          <cell r="AJ146">
            <v>0</v>
          </cell>
          <cell r="AM146">
            <v>0</v>
          </cell>
          <cell r="AN146">
            <v>0</v>
          </cell>
          <cell r="AO146">
            <v>321.39999999999998</v>
          </cell>
          <cell r="AQ146">
            <v>0</v>
          </cell>
          <cell r="AT146">
            <v>0</v>
          </cell>
          <cell r="AU146">
            <v>0</v>
          </cell>
          <cell r="AV146">
            <v>2809343</v>
          </cell>
          <cell r="AW146">
            <v>0</v>
          </cell>
          <cell r="AX146">
            <v>0</v>
          </cell>
          <cell r="AY146">
            <v>172347</v>
          </cell>
          <cell r="AZ146">
            <v>1</v>
          </cell>
          <cell r="BA146">
            <v>1</v>
          </cell>
          <cell r="BB146">
            <v>26195</v>
          </cell>
          <cell r="BC146">
            <v>19665</v>
          </cell>
          <cell r="BE146">
            <v>3097433</v>
          </cell>
          <cell r="BF146">
            <v>3499</v>
          </cell>
          <cell r="BG146">
            <v>1654</v>
          </cell>
          <cell r="BH146">
            <v>33</v>
          </cell>
          <cell r="BI146">
            <v>47693797</v>
          </cell>
          <cell r="BJ146">
            <v>43133074</v>
          </cell>
          <cell r="BL146">
            <v>124</v>
          </cell>
          <cell r="BM146">
            <v>119</v>
          </cell>
          <cell r="BN146">
            <v>129</v>
          </cell>
          <cell r="BO146">
            <v>39</v>
          </cell>
          <cell r="BP146">
            <v>30</v>
          </cell>
          <cell r="BQ146">
            <v>17</v>
          </cell>
        </row>
        <row r="147">
          <cell r="A147">
            <v>351</v>
          </cell>
          <cell r="B147" t="str">
            <v>351 - Macksville</v>
          </cell>
          <cell r="C147" t="str">
            <v>Stafford</v>
          </cell>
          <cell r="D147">
            <v>47098145</v>
          </cell>
          <cell r="E147">
            <v>44899335</v>
          </cell>
          <cell r="F147">
            <v>44921676</v>
          </cell>
          <cell r="G147">
            <v>41727048</v>
          </cell>
          <cell r="H147">
            <v>184</v>
          </cell>
          <cell r="I147">
            <v>164.5</v>
          </cell>
          <cell r="J147">
            <v>360</v>
          </cell>
          <cell r="K147">
            <v>2427629</v>
          </cell>
          <cell r="L147">
            <v>190.5</v>
          </cell>
          <cell r="M147">
            <v>185.5</v>
          </cell>
          <cell r="N147">
            <v>170</v>
          </cell>
          <cell r="O147">
            <v>176.5</v>
          </cell>
          <cell r="P147">
            <v>262159</v>
          </cell>
          <cell r="Q147">
            <v>246650</v>
          </cell>
          <cell r="R147">
            <v>0</v>
          </cell>
          <cell r="S147">
            <v>308335</v>
          </cell>
          <cell r="T147">
            <v>0</v>
          </cell>
          <cell r="U147">
            <v>0</v>
          </cell>
          <cell r="V147">
            <v>0</v>
          </cell>
          <cell r="W147">
            <v>0</v>
          </cell>
          <cell r="X147">
            <v>98</v>
          </cell>
          <cell r="Y147">
            <v>27</v>
          </cell>
          <cell r="Z147">
            <v>0</v>
          </cell>
          <cell r="AA147">
            <v>0</v>
          </cell>
          <cell r="AB147">
            <v>0</v>
          </cell>
          <cell r="AC147">
            <v>277961</v>
          </cell>
          <cell r="AD147">
            <v>249359</v>
          </cell>
          <cell r="AE147">
            <v>249359</v>
          </cell>
          <cell r="AF147">
            <v>190.5</v>
          </cell>
          <cell r="AG147">
            <v>185.5</v>
          </cell>
          <cell r="AH147">
            <v>170</v>
          </cell>
          <cell r="AI147">
            <v>176.5</v>
          </cell>
          <cell r="AJ147">
            <v>0</v>
          </cell>
          <cell r="AM147">
            <v>0</v>
          </cell>
          <cell r="AN147">
            <v>0</v>
          </cell>
          <cell r="AO147">
            <v>171.5</v>
          </cell>
          <cell r="AQ147">
            <v>0</v>
          </cell>
          <cell r="AT147">
            <v>0</v>
          </cell>
          <cell r="AU147">
            <v>0</v>
          </cell>
          <cell r="AV147">
            <v>2120624</v>
          </cell>
          <cell r="AW147">
            <v>0</v>
          </cell>
          <cell r="AX147">
            <v>0</v>
          </cell>
          <cell r="AY147">
            <v>0</v>
          </cell>
          <cell r="AZ147">
            <v>1</v>
          </cell>
          <cell r="BA147">
            <v>1</v>
          </cell>
          <cell r="BB147">
            <v>0</v>
          </cell>
          <cell r="BC147">
            <v>0</v>
          </cell>
          <cell r="BE147">
            <v>2173343</v>
          </cell>
          <cell r="BF147">
            <v>218</v>
          </cell>
          <cell r="BG147">
            <v>290</v>
          </cell>
          <cell r="BH147">
            <v>33</v>
          </cell>
          <cell r="BI147">
            <v>47098145</v>
          </cell>
          <cell r="BJ147">
            <v>44535795</v>
          </cell>
          <cell r="BL147">
            <v>83</v>
          </cell>
          <cell r="BM147">
            <v>104</v>
          </cell>
          <cell r="BN147">
            <v>98</v>
          </cell>
          <cell r="BO147">
            <v>44</v>
          </cell>
          <cell r="BP147">
            <v>23</v>
          </cell>
          <cell r="BQ147">
            <v>27</v>
          </cell>
        </row>
        <row r="148">
          <cell r="A148">
            <v>352</v>
          </cell>
          <cell r="B148" t="str">
            <v>352 - Goodland</v>
          </cell>
          <cell r="C148" t="str">
            <v>Sherman</v>
          </cell>
          <cell r="D148">
            <v>99430619</v>
          </cell>
          <cell r="E148">
            <v>87890038</v>
          </cell>
          <cell r="F148">
            <v>95722984</v>
          </cell>
          <cell r="G148">
            <v>77040798</v>
          </cell>
          <cell r="H148">
            <v>879</v>
          </cell>
          <cell r="I148">
            <v>838.7</v>
          </cell>
          <cell r="J148">
            <v>914.2</v>
          </cell>
          <cell r="K148">
            <v>8453129</v>
          </cell>
          <cell r="L148">
            <v>885.8</v>
          </cell>
          <cell r="M148">
            <v>893</v>
          </cell>
          <cell r="N148">
            <v>854.4</v>
          </cell>
          <cell r="O148">
            <v>872.8</v>
          </cell>
          <cell r="P148">
            <v>853748</v>
          </cell>
          <cell r="Q148">
            <v>959501</v>
          </cell>
          <cell r="R148">
            <v>828598</v>
          </cell>
          <cell r="S148">
            <v>840606</v>
          </cell>
          <cell r="T148">
            <v>0</v>
          </cell>
          <cell r="U148">
            <v>0</v>
          </cell>
          <cell r="V148">
            <v>0</v>
          </cell>
          <cell r="W148">
            <v>0.23</v>
          </cell>
          <cell r="X148">
            <v>368</v>
          </cell>
          <cell r="Y148">
            <v>96</v>
          </cell>
          <cell r="Z148">
            <v>0.24</v>
          </cell>
          <cell r="AA148">
            <v>0</v>
          </cell>
          <cell r="AB148">
            <v>0.32169999999999999</v>
          </cell>
          <cell r="AC148">
            <v>952514</v>
          </cell>
          <cell r="AD148">
            <v>747576</v>
          </cell>
          <cell r="AE148">
            <v>747576</v>
          </cell>
          <cell r="AF148">
            <v>884</v>
          </cell>
          <cell r="AG148">
            <v>892</v>
          </cell>
          <cell r="AH148">
            <v>851.7</v>
          </cell>
          <cell r="AI148">
            <v>866</v>
          </cell>
          <cell r="AJ148">
            <v>0</v>
          </cell>
          <cell r="AM148">
            <v>0</v>
          </cell>
          <cell r="AN148">
            <v>0</v>
          </cell>
          <cell r="AO148">
            <v>848.5</v>
          </cell>
          <cell r="AQ148">
            <v>0</v>
          </cell>
          <cell r="AT148">
            <v>0</v>
          </cell>
          <cell r="AU148">
            <v>0</v>
          </cell>
          <cell r="AV148">
            <v>7339476</v>
          </cell>
          <cell r="AW148">
            <v>112342</v>
          </cell>
          <cell r="AX148">
            <v>95274</v>
          </cell>
          <cell r="AY148">
            <v>743949</v>
          </cell>
          <cell r="AZ148">
            <v>1</v>
          </cell>
          <cell r="BA148">
            <v>1</v>
          </cell>
          <cell r="BB148">
            <v>0</v>
          </cell>
          <cell r="BC148">
            <v>0</v>
          </cell>
          <cell r="BE148">
            <v>7492033</v>
          </cell>
          <cell r="BF148">
            <v>7354</v>
          </cell>
          <cell r="BG148">
            <v>4413</v>
          </cell>
          <cell r="BH148">
            <v>33</v>
          </cell>
          <cell r="BI148">
            <v>98535461</v>
          </cell>
          <cell r="BJ148">
            <v>95133945</v>
          </cell>
          <cell r="BL148">
            <v>317</v>
          </cell>
          <cell r="BM148">
            <v>390</v>
          </cell>
          <cell r="BN148">
            <v>402</v>
          </cell>
          <cell r="BO148">
            <v>98</v>
          </cell>
          <cell r="BP148">
            <v>68</v>
          </cell>
          <cell r="BQ148">
            <v>78</v>
          </cell>
        </row>
        <row r="149">
          <cell r="A149">
            <v>353</v>
          </cell>
          <cell r="B149" t="str">
            <v>353 - Wellington</v>
          </cell>
          <cell r="C149" t="str">
            <v>Sumner</v>
          </cell>
          <cell r="D149">
            <v>80774194</v>
          </cell>
          <cell r="E149">
            <v>64423378</v>
          </cell>
          <cell r="F149">
            <v>84583611</v>
          </cell>
          <cell r="G149">
            <v>59014288</v>
          </cell>
          <cell r="H149">
            <v>1452</v>
          </cell>
          <cell r="I149">
            <v>1435.6</v>
          </cell>
          <cell r="J149">
            <v>228.5</v>
          </cell>
          <cell r="K149">
            <v>13931238</v>
          </cell>
          <cell r="L149">
            <v>1428.3</v>
          </cell>
          <cell r="M149">
            <v>1462.5</v>
          </cell>
          <cell r="N149">
            <v>1454.6</v>
          </cell>
          <cell r="O149">
            <v>1397.3</v>
          </cell>
          <cell r="P149">
            <v>2067109</v>
          </cell>
          <cell r="Q149">
            <v>2396092</v>
          </cell>
          <cell r="R149">
            <v>2993063</v>
          </cell>
          <cell r="S149">
            <v>1855849</v>
          </cell>
          <cell r="T149">
            <v>0</v>
          </cell>
          <cell r="U149">
            <v>0</v>
          </cell>
          <cell r="V149">
            <v>0.25</v>
          </cell>
          <cell r="W149">
            <v>0.72</v>
          </cell>
          <cell r="X149">
            <v>798</v>
          </cell>
          <cell r="Y149">
            <v>95</v>
          </cell>
          <cell r="Z149">
            <v>0.71</v>
          </cell>
          <cell r="AA149">
            <v>0.16</v>
          </cell>
          <cell r="AB149">
            <v>0.65590000000000004</v>
          </cell>
          <cell r="AC149">
            <v>1557246</v>
          </cell>
          <cell r="AD149">
            <v>1462490</v>
          </cell>
          <cell r="AE149">
            <v>1462490</v>
          </cell>
          <cell r="AF149">
            <v>1427.4</v>
          </cell>
          <cell r="AG149">
            <v>1462.5</v>
          </cell>
          <cell r="AH149">
            <v>1445.6</v>
          </cell>
          <cell r="AI149">
            <v>1397</v>
          </cell>
          <cell r="AJ149">
            <v>0</v>
          </cell>
          <cell r="AM149">
            <v>0</v>
          </cell>
          <cell r="AN149">
            <v>0</v>
          </cell>
          <cell r="AO149">
            <v>1386</v>
          </cell>
          <cell r="AQ149">
            <v>0</v>
          </cell>
          <cell r="AT149">
            <v>0</v>
          </cell>
          <cell r="AU149">
            <v>0</v>
          </cell>
          <cell r="AV149">
            <v>11001499</v>
          </cell>
          <cell r="AW149">
            <v>472042</v>
          </cell>
          <cell r="AX149">
            <v>497039</v>
          </cell>
          <cell r="AY149">
            <v>2738829</v>
          </cell>
          <cell r="AZ149">
            <v>1</v>
          </cell>
          <cell r="BA149">
            <v>1</v>
          </cell>
          <cell r="BB149">
            <v>0</v>
          </cell>
          <cell r="BC149">
            <v>0</v>
          </cell>
          <cell r="BE149">
            <v>11532647</v>
          </cell>
          <cell r="BF149">
            <v>4705</v>
          </cell>
          <cell r="BG149">
            <v>0</v>
          </cell>
          <cell r="BH149">
            <v>32.5</v>
          </cell>
          <cell r="BI149">
            <v>79736733</v>
          </cell>
          <cell r="BJ149">
            <v>84256153</v>
          </cell>
          <cell r="BL149">
            <v>490</v>
          </cell>
          <cell r="BM149">
            <v>777</v>
          </cell>
          <cell r="BN149">
            <v>806</v>
          </cell>
          <cell r="BO149">
            <v>184</v>
          </cell>
          <cell r="BP149">
            <v>113</v>
          </cell>
          <cell r="BQ149">
            <v>95</v>
          </cell>
        </row>
        <row r="150">
          <cell r="A150">
            <v>355</v>
          </cell>
          <cell r="B150" t="str">
            <v>355 - Ellinwood Public Schools</v>
          </cell>
          <cell r="C150" t="str">
            <v>Barton</v>
          </cell>
          <cell r="D150">
            <v>39529682</v>
          </cell>
          <cell r="E150">
            <v>34301033</v>
          </cell>
          <cell r="F150">
            <v>39874569</v>
          </cell>
          <cell r="G150">
            <v>31226385</v>
          </cell>
          <cell r="H150">
            <v>428.1</v>
          </cell>
          <cell r="I150">
            <v>431.7</v>
          </cell>
          <cell r="J150">
            <v>154</v>
          </cell>
          <cell r="K150">
            <v>4482563</v>
          </cell>
          <cell r="L150">
            <v>409.2</v>
          </cell>
          <cell r="M150">
            <v>428.1</v>
          </cell>
          <cell r="N150">
            <v>432.2</v>
          </cell>
          <cell r="O150">
            <v>422.2</v>
          </cell>
          <cell r="P150">
            <v>554692</v>
          </cell>
          <cell r="Q150">
            <v>640877</v>
          </cell>
          <cell r="R150">
            <v>663256</v>
          </cell>
          <cell r="S150">
            <v>443078</v>
          </cell>
          <cell r="T150">
            <v>0</v>
          </cell>
          <cell r="U150">
            <v>0</v>
          </cell>
          <cell r="V150">
            <v>0</v>
          </cell>
          <cell r="W150">
            <v>0.38</v>
          </cell>
          <cell r="X150">
            <v>138</v>
          </cell>
          <cell r="Y150">
            <v>44</v>
          </cell>
          <cell r="Z150">
            <v>0.37</v>
          </cell>
          <cell r="AA150">
            <v>0</v>
          </cell>
          <cell r="AB150">
            <v>0.433</v>
          </cell>
          <cell r="AC150">
            <v>486006</v>
          </cell>
          <cell r="AD150">
            <v>456134</v>
          </cell>
          <cell r="AE150">
            <v>456134</v>
          </cell>
          <cell r="AF150">
            <v>409.2</v>
          </cell>
          <cell r="AG150">
            <v>428.1</v>
          </cell>
          <cell r="AH150">
            <v>432.2</v>
          </cell>
          <cell r="AI150">
            <v>422.2</v>
          </cell>
          <cell r="AJ150">
            <v>0</v>
          </cell>
          <cell r="AM150">
            <v>0</v>
          </cell>
          <cell r="AN150">
            <v>0</v>
          </cell>
          <cell r="AO150">
            <v>422.2</v>
          </cell>
          <cell r="AQ150">
            <v>0</v>
          </cell>
          <cell r="AT150">
            <v>0</v>
          </cell>
          <cell r="AU150">
            <v>0</v>
          </cell>
          <cell r="AV150">
            <v>3696473</v>
          </cell>
          <cell r="AW150">
            <v>120170</v>
          </cell>
          <cell r="AX150">
            <v>133566</v>
          </cell>
          <cell r="AY150">
            <v>647543</v>
          </cell>
          <cell r="AZ150">
            <v>1</v>
          </cell>
          <cell r="BA150">
            <v>1</v>
          </cell>
          <cell r="BB150">
            <v>0</v>
          </cell>
          <cell r="BC150">
            <v>0</v>
          </cell>
          <cell r="BE150">
            <v>3830437</v>
          </cell>
          <cell r="BF150">
            <v>3650</v>
          </cell>
          <cell r="BG150">
            <v>4985</v>
          </cell>
          <cell r="BH150">
            <v>33</v>
          </cell>
          <cell r="BI150">
            <v>39529682</v>
          </cell>
          <cell r="BJ150">
            <v>39751888</v>
          </cell>
          <cell r="BL150">
            <v>127</v>
          </cell>
          <cell r="BM150">
            <v>166</v>
          </cell>
          <cell r="BN150">
            <v>160</v>
          </cell>
          <cell r="BO150">
            <v>52</v>
          </cell>
          <cell r="BP150">
            <v>31</v>
          </cell>
          <cell r="BQ150">
            <v>42</v>
          </cell>
        </row>
        <row r="151">
          <cell r="A151">
            <v>356</v>
          </cell>
          <cell r="B151" t="str">
            <v>356 - Conway Springs</v>
          </cell>
          <cell r="C151" t="str">
            <v>Sumner</v>
          </cell>
          <cell r="D151">
            <v>33983998</v>
          </cell>
          <cell r="E151">
            <v>29275779</v>
          </cell>
          <cell r="F151">
            <v>34253814</v>
          </cell>
          <cell r="G151">
            <v>26382498</v>
          </cell>
          <cell r="H151">
            <v>388.5</v>
          </cell>
          <cell r="I151">
            <v>362.1</v>
          </cell>
          <cell r="J151">
            <v>158.19999999999999</v>
          </cell>
          <cell r="K151">
            <v>3887851</v>
          </cell>
          <cell r="L151">
            <v>385.7</v>
          </cell>
          <cell r="M151">
            <v>397</v>
          </cell>
          <cell r="N151">
            <v>369.1</v>
          </cell>
          <cell r="O151">
            <v>363.9</v>
          </cell>
          <cell r="P151">
            <v>472649</v>
          </cell>
          <cell r="Q151">
            <v>470602</v>
          </cell>
          <cell r="R151">
            <v>611824</v>
          </cell>
          <cell r="S151">
            <v>511282</v>
          </cell>
          <cell r="T151">
            <v>0</v>
          </cell>
          <cell r="U151">
            <v>0</v>
          </cell>
          <cell r="V151">
            <v>0</v>
          </cell>
          <cell r="W151">
            <v>0.4</v>
          </cell>
          <cell r="X151">
            <v>109</v>
          </cell>
          <cell r="Y151">
            <v>20</v>
          </cell>
          <cell r="Z151">
            <v>0.39</v>
          </cell>
          <cell r="AA151">
            <v>0</v>
          </cell>
          <cell r="AB151">
            <v>0.45900000000000002</v>
          </cell>
          <cell r="AC151">
            <v>447166</v>
          </cell>
          <cell r="AD151">
            <v>430095</v>
          </cell>
          <cell r="AE151">
            <v>430095</v>
          </cell>
          <cell r="AF151">
            <v>385.7</v>
          </cell>
          <cell r="AG151">
            <v>392</v>
          </cell>
          <cell r="AH151">
            <v>366.1</v>
          </cell>
          <cell r="AI151">
            <v>362.9</v>
          </cell>
          <cell r="AJ151">
            <v>0</v>
          </cell>
          <cell r="AM151">
            <v>3</v>
          </cell>
          <cell r="AN151">
            <v>0</v>
          </cell>
          <cell r="AO151">
            <v>359.4</v>
          </cell>
          <cell r="AQ151">
            <v>0</v>
          </cell>
          <cell r="AT151">
            <v>0</v>
          </cell>
          <cell r="AU151">
            <v>0</v>
          </cell>
          <cell r="AV151">
            <v>3405195</v>
          </cell>
          <cell r="AW151">
            <v>127765</v>
          </cell>
          <cell r="AX151">
            <v>115149</v>
          </cell>
          <cell r="AY151">
            <v>613982</v>
          </cell>
          <cell r="AZ151">
            <v>1</v>
          </cell>
          <cell r="BA151">
            <v>1</v>
          </cell>
          <cell r="BB151">
            <v>0</v>
          </cell>
          <cell r="BC151">
            <v>0</v>
          </cell>
          <cell r="BE151">
            <v>3416126</v>
          </cell>
          <cell r="BF151">
            <v>261</v>
          </cell>
          <cell r="BG151">
            <v>142</v>
          </cell>
          <cell r="BH151">
            <v>33</v>
          </cell>
          <cell r="BI151">
            <v>33338906</v>
          </cell>
          <cell r="BJ151">
            <v>33494404</v>
          </cell>
          <cell r="BL151">
            <v>86</v>
          </cell>
          <cell r="BM151">
            <v>116</v>
          </cell>
          <cell r="BN151">
            <v>115</v>
          </cell>
          <cell r="BO151">
            <v>27</v>
          </cell>
          <cell r="BP151">
            <v>28</v>
          </cell>
          <cell r="BQ151">
            <v>28</v>
          </cell>
        </row>
        <row r="152">
          <cell r="A152">
            <v>357</v>
          </cell>
          <cell r="B152" t="str">
            <v>357 - Belle Plaine</v>
          </cell>
          <cell r="C152" t="str">
            <v>Sumner</v>
          </cell>
          <cell r="D152">
            <v>34467047</v>
          </cell>
          <cell r="E152">
            <v>28222967</v>
          </cell>
          <cell r="F152">
            <v>36767396</v>
          </cell>
          <cell r="G152">
            <v>26239314</v>
          </cell>
          <cell r="H152">
            <v>537.70000000000005</v>
          </cell>
          <cell r="I152">
            <v>529.70000000000005</v>
          </cell>
          <cell r="J152">
            <v>84</v>
          </cell>
          <cell r="K152">
            <v>5893180</v>
          </cell>
          <cell r="L152">
            <v>584.70000000000005</v>
          </cell>
          <cell r="M152">
            <v>548.5</v>
          </cell>
          <cell r="N152">
            <v>549.1</v>
          </cell>
          <cell r="O152">
            <v>543</v>
          </cell>
          <cell r="P152">
            <v>905585</v>
          </cell>
          <cell r="Q152">
            <v>847702</v>
          </cell>
          <cell r="R152">
            <v>1281397</v>
          </cell>
          <cell r="S152">
            <v>945653</v>
          </cell>
          <cell r="T152">
            <v>0</v>
          </cell>
          <cell r="U152">
            <v>0</v>
          </cell>
          <cell r="V152">
            <v>0.18</v>
          </cell>
          <cell r="W152">
            <v>0.65</v>
          </cell>
          <cell r="X152">
            <v>239</v>
          </cell>
          <cell r="Y152">
            <v>35</v>
          </cell>
          <cell r="Z152">
            <v>0.64</v>
          </cell>
          <cell r="AA152">
            <v>0.09</v>
          </cell>
          <cell r="AB152">
            <v>0.61680000000000001</v>
          </cell>
          <cell r="AC152">
            <v>585720</v>
          </cell>
          <cell r="AD152">
            <v>547221</v>
          </cell>
          <cell r="AE152">
            <v>547221</v>
          </cell>
          <cell r="AF152">
            <v>576.20000000000005</v>
          </cell>
          <cell r="AG152">
            <v>546.70000000000005</v>
          </cell>
          <cell r="AH152">
            <v>540.20000000000005</v>
          </cell>
          <cell r="AI152">
            <v>538.29999999999995</v>
          </cell>
          <cell r="AJ152">
            <v>0</v>
          </cell>
          <cell r="AM152">
            <v>2</v>
          </cell>
          <cell r="AN152">
            <v>0</v>
          </cell>
          <cell r="AO152">
            <v>530.29999999999995</v>
          </cell>
          <cell r="AQ152">
            <v>0</v>
          </cell>
          <cell r="AT152">
            <v>0</v>
          </cell>
          <cell r="AU152">
            <v>0</v>
          </cell>
          <cell r="AV152">
            <v>4941841</v>
          </cell>
          <cell r="AW152">
            <v>190922</v>
          </cell>
          <cell r="AX152">
            <v>203520</v>
          </cell>
          <cell r="AY152">
            <v>1281847</v>
          </cell>
          <cell r="AZ152">
            <v>1</v>
          </cell>
          <cell r="BA152">
            <v>1</v>
          </cell>
          <cell r="BB152">
            <v>0</v>
          </cell>
          <cell r="BC152">
            <v>0</v>
          </cell>
          <cell r="BE152">
            <v>5044038</v>
          </cell>
          <cell r="BF152">
            <v>1101</v>
          </cell>
          <cell r="BG152">
            <v>2212</v>
          </cell>
          <cell r="BH152">
            <v>33</v>
          </cell>
          <cell r="BI152">
            <v>34093191</v>
          </cell>
          <cell r="BJ152">
            <v>36257015</v>
          </cell>
          <cell r="BL152">
            <v>147</v>
          </cell>
          <cell r="BM152">
            <v>233</v>
          </cell>
          <cell r="BN152">
            <v>222</v>
          </cell>
          <cell r="BO152">
            <v>73</v>
          </cell>
          <cell r="BP152">
            <v>32</v>
          </cell>
          <cell r="BQ152">
            <v>41</v>
          </cell>
        </row>
        <row r="153">
          <cell r="A153">
            <v>358</v>
          </cell>
          <cell r="B153" t="str">
            <v>358 - Oxford</v>
          </cell>
          <cell r="C153" t="str">
            <v>Sumner</v>
          </cell>
          <cell r="D153">
            <v>24435263</v>
          </cell>
          <cell r="E153">
            <v>20697067</v>
          </cell>
          <cell r="F153">
            <v>24195996</v>
          </cell>
          <cell r="G153">
            <v>18122561</v>
          </cell>
          <cell r="H153">
            <v>381.7</v>
          </cell>
          <cell r="I153">
            <v>374.7</v>
          </cell>
          <cell r="J153">
            <v>136</v>
          </cell>
          <cell r="K153">
            <v>4552068</v>
          </cell>
          <cell r="L153">
            <v>427.8</v>
          </cell>
          <cell r="M153">
            <v>432</v>
          </cell>
          <cell r="N153">
            <v>435.3</v>
          </cell>
          <cell r="O153">
            <v>420.9</v>
          </cell>
          <cell r="P153">
            <v>597116</v>
          </cell>
          <cell r="Q153">
            <v>635581</v>
          </cell>
          <cell r="R153">
            <v>908452</v>
          </cell>
          <cell r="S153">
            <v>489876</v>
          </cell>
          <cell r="T153">
            <v>4418</v>
          </cell>
          <cell r="U153">
            <v>6850</v>
          </cell>
          <cell r="V153">
            <v>0.19</v>
          </cell>
          <cell r="W153">
            <v>0.75</v>
          </cell>
          <cell r="X153">
            <v>145</v>
          </cell>
          <cell r="Y153">
            <v>23</v>
          </cell>
          <cell r="Z153">
            <v>0.74</v>
          </cell>
          <cell r="AA153">
            <v>0.19</v>
          </cell>
          <cell r="AB153">
            <v>0.65780000000000005</v>
          </cell>
          <cell r="AC153">
            <v>386034</v>
          </cell>
          <cell r="AD153">
            <v>370738</v>
          </cell>
          <cell r="AE153">
            <v>370738</v>
          </cell>
          <cell r="AF153">
            <v>376.9</v>
          </cell>
          <cell r="AG153">
            <v>386.7</v>
          </cell>
          <cell r="AH153">
            <v>379.2</v>
          </cell>
          <cell r="AI153">
            <v>362.8</v>
          </cell>
          <cell r="AJ153">
            <v>0</v>
          </cell>
          <cell r="AM153">
            <v>9</v>
          </cell>
          <cell r="AN153">
            <v>0</v>
          </cell>
          <cell r="AO153">
            <v>353.3</v>
          </cell>
          <cell r="AQ153">
            <v>0</v>
          </cell>
          <cell r="AT153">
            <v>0</v>
          </cell>
          <cell r="AU153">
            <v>0</v>
          </cell>
          <cell r="AV153">
            <v>3606638</v>
          </cell>
          <cell r="AW153">
            <v>131945</v>
          </cell>
          <cell r="AX153">
            <v>146798</v>
          </cell>
          <cell r="AY153">
            <v>838140</v>
          </cell>
          <cell r="AZ153">
            <v>1</v>
          </cell>
          <cell r="BA153">
            <v>1</v>
          </cell>
          <cell r="BB153">
            <v>0</v>
          </cell>
          <cell r="BC153">
            <v>0</v>
          </cell>
          <cell r="BE153">
            <v>3913991</v>
          </cell>
          <cell r="BF153">
            <v>2479</v>
          </cell>
          <cell r="BG153">
            <v>2516</v>
          </cell>
          <cell r="BH153">
            <v>33</v>
          </cell>
          <cell r="BI153">
            <v>24112499</v>
          </cell>
          <cell r="BJ153">
            <v>23835206</v>
          </cell>
          <cell r="BL153">
            <v>111</v>
          </cell>
          <cell r="BM153">
            <v>141</v>
          </cell>
          <cell r="BN153">
            <v>134</v>
          </cell>
          <cell r="BO153">
            <v>47</v>
          </cell>
          <cell r="BP153">
            <v>29</v>
          </cell>
          <cell r="BQ153">
            <v>17</v>
          </cell>
        </row>
        <row r="154">
          <cell r="A154">
            <v>359</v>
          </cell>
          <cell r="B154" t="str">
            <v>359 - Argonia Public Schools</v>
          </cell>
          <cell r="C154" t="str">
            <v>Sumner</v>
          </cell>
          <cell r="D154">
            <v>20546900</v>
          </cell>
          <cell r="E154">
            <v>18488080</v>
          </cell>
          <cell r="F154">
            <v>20707717</v>
          </cell>
          <cell r="G154">
            <v>17531789</v>
          </cell>
          <cell r="H154">
            <v>140</v>
          </cell>
          <cell r="I154">
            <v>129.5</v>
          </cell>
          <cell r="J154">
            <v>174</v>
          </cell>
          <cell r="K154">
            <v>1988247</v>
          </cell>
          <cell r="L154">
            <v>162</v>
          </cell>
          <cell r="M154">
            <v>141.5</v>
          </cell>
          <cell r="N154">
            <v>132</v>
          </cell>
          <cell r="O154">
            <v>144</v>
          </cell>
          <cell r="P154">
            <v>294165</v>
          </cell>
          <cell r="Q154">
            <v>289234</v>
          </cell>
          <cell r="R154">
            <v>77242</v>
          </cell>
          <cell r="S154">
            <v>242767</v>
          </cell>
          <cell r="T154">
            <v>0</v>
          </cell>
          <cell r="U154">
            <v>0</v>
          </cell>
          <cell r="V154">
            <v>0</v>
          </cell>
          <cell r="W154">
            <v>0</v>
          </cell>
          <cell r="X154">
            <v>55</v>
          </cell>
          <cell r="Y154">
            <v>12</v>
          </cell>
          <cell r="Z154">
            <v>0</v>
          </cell>
          <cell r="AA154">
            <v>0</v>
          </cell>
          <cell r="AB154">
            <v>9.1300000000000006E-2</v>
          </cell>
          <cell r="AC154">
            <v>204414</v>
          </cell>
          <cell r="AD154">
            <v>189520</v>
          </cell>
          <cell r="AE154">
            <v>189520</v>
          </cell>
          <cell r="AF154">
            <v>162</v>
          </cell>
          <cell r="AG154">
            <v>141.5</v>
          </cell>
          <cell r="AH154">
            <v>132</v>
          </cell>
          <cell r="AI154">
            <v>144</v>
          </cell>
          <cell r="AJ154">
            <v>0</v>
          </cell>
          <cell r="AM154">
            <v>0</v>
          </cell>
          <cell r="AN154">
            <v>0</v>
          </cell>
          <cell r="AO154">
            <v>144</v>
          </cell>
          <cell r="AQ154">
            <v>0</v>
          </cell>
          <cell r="AT154">
            <v>0</v>
          </cell>
          <cell r="AU154">
            <v>0</v>
          </cell>
          <cell r="AV154">
            <v>1740565</v>
          </cell>
          <cell r="AW154">
            <v>0</v>
          </cell>
          <cell r="AX154">
            <v>0</v>
          </cell>
          <cell r="AY154">
            <v>124536</v>
          </cell>
          <cell r="AZ154">
            <v>1</v>
          </cell>
          <cell r="BA154">
            <v>1</v>
          </cell>
          <cell r="BB154">
            <v>71670</v>
          </cell>
          <cell r="BC154">
            <v>72210</v>
          </cell>
          <cell r="BE154">
            <v>1694891</v>
          </cell>
          <cell r="BF154">
            <v>708</v>
          </cell>
          <cell r="BG154">
            <v>965</v>
          </cell>
          <cell r="BH154">
            <v>33</v>
          </cell>
          <cell r="BI154">
            <v>20546900</v>
          </cell>
          <cell r="BJ154">
            <v>20594323</v>
          </cell>
          <cell r="BL154">
            <v>57</v>
          </cell>
          <cell r="BM154">
            <v>55</v>
          </cell>
          <cell r="BN154">
            <v>52</v>
          </cell>
          <cell r="BO154">
            <v>20</v>
          </cell>
          <cell r="BP154">
            <v>15</v>
          </cell>
          <cell r="BQ154">
            <v>16</v>
          </cell>
        </row>
        <row r="155">
          <cell r="A155">
            <v>360</v>
          </cell>
          <cell r="B155" t="str">
            <v>360 - Caldwell</v>
          </cell>
          <cell r="C155" t="str">
            <v>Sumner</v>
          </cell>
          <cell r="D155">
            <v>19677427</v>
          </cell>
          <cell r="E155">
            <v>16565984</v>
          </cell>
          <cell r="F155">
            <v>18111574</v>
          </cell>
          <cell r="G155">
            <v>13622602</v>
          </cell>
          <cell r="H155">
            <v>224.7</v>
          </cell>
          <cell r="I155">
            <v>222.5</v>
          </cell>
          <cell r="J155">
            <v>194</v>
          </cell>
          <cell r="K155">
            <v>2970781</v>
          </cell>
          <cell r="L155">
            <v>235.3</v>
          </cell>
          <cell r="M155">
            <v>236.2</v>
          </cell>
          <cell r="N155">
            <v>227</v>
          </cell>
          <cell r="O155">
            <v>224.7</v>
          </cell>
          <cell r="P155">
            <v>395821</v>
          </cell>
          <cell r="Q155">
            <v>401015</v>
          </cell>
          <cell r="R155">
            <v>479134</v>
          </cell>
          <cell r="S155">
            <v>317974</v>
          </cell>
          <cell r="T155">
            <v>0</v>
          </cell>
          <cell r="U155">
            <v>0</v>
          </cell>
          <cell r="V155">
            <v>0.04</v>
          </cell>
          <cell r="W155">
            <v>0.52</v>
          </cell>
          <cell r="X155">
            <v>131</v>
          </cell>
          <cell r="Y155">
            <v>27</v>
          </cell>
          <cell r="Z155">
            <v>0.51</v>
          </cell>
          <cell r="AA155">
            <v>0</v>
          </cell>
          <cell r="AB155">
            <v>0.49009999999999998</v>
          </cell>
          <cell r="AC155">
            <v>301393</v>
          </cell>
          <cell r="AD155">
            <v>274300</v>
          </cell>
          <cell r="AE155">
            <v>274300</v>
          </cell>
          <cell r="AF155">
            <v>230.9</v>
          </cell>
          <cell r="AG155">
            <v>229.2</v>
          </cell>
          <cell r="AH155">
            <v>226</v>
          </cell>
          <cell r="AI155">
            <v>221.9</v>
          </cell>
          <cell r="AJ155">
            <v>0</v>
          </cell>
          <cell r="AM155">
            <v>8</v>
          </cell>
          <cell r="AN155">
            <v>0</v>
          </cell>
          <cell r="AO155">
            <v>215.9</v>
          </cell>
          <cell r="AQ155">
            <v>0</v>
          </cell>
          <cell r="AT155">
            <v>0</v>
          </cell>
          <cell r="AU155">
            <v>0</v>
          </cell>
          <cell r="AV155">
            <v>2432105</v>
          </cell>
          <cell r="AW155">
            <v>73691</v>
          </cell>
          <cell r="AX155">
            <v>66036</v>
          </cell>
          <cell r="AY155">
            <v>450628</v>
          </cell>
          <cell r="AZ155">
            <v>1</v>
          </cell>
          <cell r="BA155">
            <v>1</v>
          </cell>
          <cell r="BB155">
            <v>0</v>
          </cell>
          <cell r="BC155">
            <v>0</v>
          </cell>
          <cell r="BE155">
            <v>2568058</v>
          </cell>
          <cell r="BF155">
            <v>3627</v>
          </cell>
          <cell r="BG155">
            <v>3850</v>
          </cell>
          <cell r="BH155">
            <v>33</v>
          </cell>
          <cell r="BI155">
            <v>19677427</v>
          </cell>
          <cell r="BJ155">
            <v>17987224</v>
          </cell>
          <cell r="BL155">
            <v>114</v>
          </cell>
          <cell r="BM155">
            <v>134</v>
          </cell>
          <cell r="BN155">
            <v>140</v>
          </cell>
          <cell r="BO155">
            <v>39</v>
          </cell>
          <cell r="BP155">
            <v>22</v>
          </cell>
          <cell r="BQ155">
            <v>19</v>
          </cell>
        </row>
        <row r="156">
          <cell r="A156">
            <v>361</v>
          </cell>
          <cell r="B156" t="str">
            <v>361 - Chaparral Schools</v>
          </cell>
          <cell r="C156" t="str">
            <v>Harper</v>
          </cell>
          <cell r="D156">
            <v>80250963</v>
          </cell>
          <cell r="E156">
            <v>70686300</v>
          </cell>
          <cell r="F156">
            <v>78643162</v>
          </cell>
          <cell r="G156">
            <v>63559413</v>
          </cell>
          <cell r="H156">
            <v>768.1</v>
          </cell>
          <cell r="I156">
            <v>781.9</v>
          </cell>
          <cell r="J156">
            <v>597.5</v>
          </cell>
          <cell r="K156">
            <v>8918738</v>
          </cell>
          <cell r="L156">
            <v>752.3</v>
          </cell>
          <cell r="M156">
            <v>787.7</v>
          </cell>
          <cell r="N156">
            <v>802.4</v>
          </cell>
          <cell r="O156">
            <v>792.5</v>
          </cell>
          <cell r="P156">
            <v>1142986</v>
          </cell>
          <cell r="Q156">
            <v>1223331</v>
          </cell>
          <cell r="R156">
            <v>1060202</v>
          </cell>
          <cell r="S156">
            <v>953494</v>
          </cell>
          <cell r="T156">
            <v>0</v>
          </cell>
          <cell r="U156">
            <v>0</v>
          </cell>
          <cell r="V156">
            <v>0</v>
          </cell>
          <cell r="W156">
            <v>0.34</v>
          </cell>
          <cell r="X156">
            <v>423</v>
          </cell>
          <cell r="Y156">
            <v>71</v>
          </cell>
          <cell r="Z156">
            <v>0.33</v>
          </cell>
          <cell r="AA156">
            <v>0</v>
          </cell>
          <cell r="AB156">
            <v>0.37180000000000002</v>
          </cell>
          <cell r="AC156">
            <v>860381</v>
          </cell>
          <cell r="AD156">
            <v>800766</v>
          </cell>
          <cell r="AE156">
            <v>800766</v>
          </cell>
          <cell r="AF156">
            <v>750.4</v>
          </cell>
          <cell r="AG156">
            <v>782.6</v>
          </cell>
          <cell r="AH156">
            <v>794.9</v>
          </cell>
          <cell r="AI156">
            <v>784</v>
          </cell>
          <cell r="AJ156">
            <v>0</v>
          </cell>
          <cell r="AM156">
            <v>2</v>
          </cell>
          <cell r="AN156">
            <v>0</v>
          </cell>
          <cell r="AO156">
            <v>770</v>
          </cell>
          <cell r="AQ156">
            <v>0</v>
          </cell>
          <cell r="AT156">
            <v>0</v>
          </cell>
          <cell r="AU156">
            <v>0</v>
          </cell>
          <cell r="AV156">
            <v>7221761</v>
          </cell>
          <cell r="AW156">
            <v>61987</v>
          </cell>
          <cell r="AX156">
            <v>203181</v>
          </cell>
          <cell r="AY156">
            <v>957030</v>
          </cell>
          <cell r="AZ156">
            <v>1</v>
          </cell>
          <cell r="BA156">
            <v>1</v>
          </cell>
          <cell r="BB156">
            <v>30000</v>
          </cell>
          <cell r="BC156">
            <v>26654</v>
          </cell>
          <cell r="BE156">
            <v>7663023</v>
          </cell>
          <cell r="BF156">
            <v>393</v>
          </cell>
          <cell r="BG156">
            <v>818</v>
          </cell>
          <cell r="BH156">
            <v>33</v>
          </cell>
          <cell r="BI156">
            <v>78924059</v>
          </cell>
          <cell r="BJ156">
            <v>77422796</v>
          </cell>
          <cell r="BL156">
            <v>326</v>
          </cell>
          <cell r="BM156">
            <v>427</v>
          </cell>
          <cell r="BN156">
            <v>440</v>
          </cell>
          <cell r="BO156">
            <v>102</v>
          </cell>
          <cell r="BP156">
            <v>107</v>
          </cell>
          <cell r="BQ156">
            <v>100</v>
          </cell>
        </row>
        <row r="157">
          <cell r="A157">
            <v>362</v>
          </cell>
          <cell r="B157" t="str">
            <v>362 - Prairie View</v>
          </cell>
          <cell r="C157" t="str">
            <v>Linn</v>
          </cell>
          <cell r="D157">
            <v>263048347</v>
          </cell>
          <cell r="E157">
            <v>248175338</v>
          </cell>
          <cell r="F157">
            <v>277311026</v>
          </cell>
          <cell r="G157">
            <v>251973339</v>
          </cell>
          <cell r="H157">
            <v>804.6</v>
          </cell>
          <cell r="I157">
            <v>826.3</v>
          </cell>
          <cell r="J157">
            <v>320</v>
          </cell>
          <cell r="K157">
            <v>9466368</v>
          </cell>
          <cell r="L157">
            <v>853.9</v>
          </cell>
          <cell r="M157">
            <v>822.6</v>
          </cell>
          <cell r="N157">
            <v>854.2</v>
          </cell>
          <cell r="O157">
            <v>848</v>
          </cell>
          <cell r="P157">
            <v>1589178</v>
          </cell>
          <cell r="Q157">
            <v>1724602</v>
          </cell>
          <cell r="R157">
            <v>0</v>
          </cell>
          <cell r="S157">
            <v>1412645</v>
          </cell>
          <cell r="T157">
            <v>33374</v>
          </cell>
          <cell r="U157">
            <v>25733</v>
          </cell>
          <cell r="V157">
            <v>0</v>
          </cell>
          <cell r="W157">
            <v>0</v>
          </cell>
          <cell r="X157">
            <v>361</v>
          </cell>
          <cell r="Y157">
            <v>83</v>
          </cell>
          <cell r="Z157">
            <v>0</v>
          </cell>
          <cell r="AA157">
            <v>0</v>
          </cell>
          <cell r="AB157">
            <v>0</v>
          </cell>
          <cell r="AC157">
            <v>1065395</v>
          </cell>
          <cell r="AD157">
            <v>983596</v>
          </cell>
          <cell r="AE157">
            <v>983596</v>
          </cell>
          <cell r="AF157">
            <v>851.9</v>
          </cell>
          <cell r="AG157">
            <v>816.6</v>
          </cell>
          <cell r="AH157">
            <v>844.3</v>
          </cell>
          <cell r="AI157">
            <v>843.1</v>
          </cell>
          <cell r="AJ157">
            <v>0</v>
          </cell>
          <cell r="AM157">
            <v>0</v>
          </cell>
          <cell r="AN157">
            <v>0</v>
          </cell>
          <cell r="AO157">
            <v>823.6</v>
          </cell>
          <cell r="AQ157">
            <v>0</v>
          </cell>
          <cell r="AT157">
            <v>0</v>
          </cell>
          <cell r="AU157">
            <v>0</v>
          </cell>
          <cell r="AV157">
            <v>7300688</v>
          </cell>
          <cell r="AW157">
            <v>0</v>
          </cell>
          <cell r="AX157">
            <v>0</v>
          </cell>
          <cell r="AY157">
            <v>0</v>
          </cell>
          <cell r="AZ157">
            <v>1</v>
          </cell>
          <cell r="BA157">
            <v>1</v>
          </cell>
          <cell r="BB157">
            <v>0</v>
          </cell>
          <cell r="BC157">
            <v>0</v>
          </cell>
          <cell r="BE157">
            <v>7741567</v>
          </cell>
          <cell r="BF157">
            <v>541</v>
          </cell>
          <cell r="BG157">
            <v>1556</v>
          </cell>
          <cell r="BH157">
            <v>33</v>
          </cell>
          <cell r="BI157">
            <v>263048347</v>
          </cell>
          <cell r="BJ157">
            <v>277311026</v>
          </cell>
          <cell r="BL157">
            <v>285</v>
          </cell>
          <cell r="BM157">
            <v>354</v>
          </cell>
          <cell r="BN157">
            <v>327</v>
          </cell>
          <cell r="BO157">
            <v>119</v>
          </cell>
          <cell r="BP157">
            <v>45</v>
          </cell>
          <cell r="BQ157">
            <v>85</v>
          </cell>
        </row>
        <row r="158">
          <cell r="A158">
            <v>363</v>
          </cell>
          <cell r="B158" t="str">
            <v>363 - Holcomb</v>
          </cell>
          <cell r="C158" t="str">
            <v>Finney</v>
          </cell>
          <cell r="D158">
            <v>121286729</v>
          </cell>
          <cell r="E158">
            <v>116708020</v>
          </cell>
          <cell r="F158">
            <v>110938661</v>
          </cell>
          <cell r="G158">
            <v>102927138</v>
          </cell>
          <cell r="H158">
            <v>911</v>
          </cell>
          <cell r="I158">
            <v>922</v>
          </cell>
          <cell r="J158">
            <v>231</v>
          </cell>
          <cell r="K158">
            <v>8503740</v>
          </cell>
          <cell r="L158">
            <v>944</v>
          </cell>
          <cell r="M158">
            <v>936.6</v>
          </cell>
          <cell r="N158">
            <v>946.5</v>
          </cell>
          <cell r="O158">
            <v>872.9</v>
          </cell>
          <cell r="P158">
            <v>586327</v>
          </cell>
          <cell r="Q158">
            <v>641300</v>
          </cell>
          <cell r="R158">
            <v>634998</v>
          </cell>
          <cell r="S158">
            <v>529925</v>
          </cell>
          <cell r="T158">
            <v>0</v>
          </cell>
          <cell r="U158">
            <v>0</v>
          </cell>
          <cell r="V158">
            <v>0</v>
          </cell>
          <cell r="W158">
            <v>0.05</v>
          </cell>
          <cell r="X158">
            <v>383</v>
          </cell>
          <cell r="Y158">
            <v>83</v>
          </cell>
          <cell r="Z158">
            <v>0.04</v>
          </cell>
          <cell r="AA158">
            <v>0</v>
          </cell>
          <cell r="AB158">
            <v>0.21</v>
          </cell>
          <cell r="AC158">
            <v>1015850</v>
          </cell>
          <cell r="AD158">
            <v>939587</v>
          </cell>
          <cell r="AE158">
            <v>939587</v>
          </cell>
          <cell r="AF158">
            <v>944</v>
          </cell>
          <cell r="AG158">
            <v>927.5</v>
          </cell>
          <cell r="AH158">
            <v>942.5</v>
          </cell>
          <cell r="AI158">
            <v>863</v>
          </cell>
          <cell r="AJ158">
            <v>0</v>
          </cell>
          <cell r="AM158">
            <v>0</v>
          </cell>
          <cell r="AN158">
            <v>0</v>
          </cell>
          <cell r="AO158">
            <v>847</v>
          </cell>
          <cell r="AQ158">
            <v>0</v>
          </cell>
          <cell r="AT158">
            <v>0</v>
          </cell>
          <cell r="AU158">
            <v>0</v>
          </cell>
          <cell r="AV158">
            <v>7720499</v>
          </cell>
          <cell r="AW158">
            <v>9684</v>
          </cell>
          <cell r="AX158">
            <v>29718</v>
          </cell>
          <cell r="AY158">
            <v>605801</v>
          </cell>
          <cell r="AZ158">
            <v>1</v>
          </cell>
          <cell r="BA158">
            <v>1</v>
          </cell>
          <cell r="BB158">
            <v>49592</v>
          </cell>
          <cell r="BC158">
            <v>28020</v>
          </cell>
          <cell r="BE158">
            <v>7779541</v>
          </cell>
          <cell r="BF158">
            <v>4952</v>
          </cell>
          <cell r="BG158">
            <v>4527</v>
          </cell>
          <cell r="BH158">
            <v>33</v>
          </cell>
          <cell r="BI158">
            <v>121107154</v>
          </cell>
          <cell r="BJ158">
            <v>110788354</v>
          </cell>
          <cell r="BL158">
            <v>307</v>
          </cell>
          <cell r="BM158">
            <v>452</v>
          </cell>
          <cell r="BN158">
            <v>456</v>
          </cell>
          <cell r="BO158">
            <v>134</v>
          </cell>
          <cell r="BP158">
            <v>77</v>
          </cell>
          <cell r="BQ158">
            <v>74</v>
          </cell>
        </row>
        <row r="159">
          <cell r="A159">
            <v>364</v>
          </cell>
          <cell r="B159" t="str">
            <v>364 - Marysville</v>
          </cell>
          <cell r="C159" t="str">
            <v>Marshall</v>
          </cell>
          <cell r="D159">
            <v>118153785</v>
          </cell>
          <cell r="E159">
            <v>107609075</v>
          </cell>
          <cell r="F159">
            <v>118832305</v>
          </cell>
          <cell r="G159">
            <v>101545742</v>
          </cell>
          <cell r="H159">
            <v>751</v>
          </cell>
          <cell r="I159">
            <v>719.2</v>
          </cell>
          <cell r="J159">
            <v>325</v>
          </cell>
          <cell r="K159">
            <v>7547485</v>
          </cell>
          <cell r="L159">
            <v>736.7</v>
          </cell>
          <cell r="M159">
            <v>757.5</v>
          </cell>
          <cell r="N159">
            <v>736.7</v>
          </cell>
          <cell r="O159">
            <v>731.9</v>
          </cell>
          <cell r="P159">
            <v>722820</v>
          </cell>
          <cell r="Q159">
            <v>811069</v>
          </cell>
          <cell r="R159">
            <v>32494</v>
          </cell>
          <cell r="S159">
            <v>863551</v>
          </cell>
          <cell r="T159">
            <v>6111</v>
          </cell>
          <cell r="U159">
            <v>6472</v>
          </cell>
          <cell r="V159">
            <v>0</v>
          </cell>
          <cell r="W159">
            <v>0</v>
          </cell>
          <cell r="X159">
            <v>317</v>
          </cell>
          <cell r="Y159">
            <v>85</v>
          </cell>
          <cell r="Z159">
            <v>0</v>
          </cell>
          <cell r="AA159">
            <v>0</v>
          </cell>
          <cell r="AB159">
            <v>1.5100000000000001E-2</v>
          </cell>
          <cell r="AC159">
            <v>907254</v>
          </cell>
          <cell r="AD159">
            <v>884091</v>
          </cell>
          <cell r="AE159">
            <v>884091</v>
          </cell>
          <cell r="AF159">
            <v>736.7</v>
          </cell>
          <cell r="AG159">
            <v>757.5</v>
          </cell>
          <cell r="AH159">
            <v>736.7</v>
          </cell>
          <cell r="AI159">
            <v>731.9</v>
          </cell>
          <cell r="AJ159">
            <v>0</v>
          </cell>
          <cell r="AM159">
            <v>2</v>
          </cell>
          <cell r="AN159">
            <v>0</v>
          </cell>
          <cell r="AO159">
            <v>714.4</v>
          </cell>
          <cell r="AQ159">
            <v>0</v>
          </cell>
          <cell r="AT159">
            <v>0</v>
          </cell>
          <cell r="AU159">
            <v>0</v>
          </cell>
          <cell r="AV159">
            <v>6553529</v>
          </cell>
          <cell r="AW159">
            <v>0</v>
          </cell>
          <cell r="AX159">
            <v>0</v>
          </cell>
          <cell r="AY159">
            <v>0</v>
          </cell>
          <cell r="AZ159">
            <v>1</v>
          </cell>
          <cell r="BA159">
            <v>1</v>
          </cell>
          <cell r="BB159">
            <v>0</v>
          </cell>
          <cell r="BC159">
            <v>0</v>
          </cell>
          <cell r="BE159">
            <v>6736416</v>
          </cell>
          <cell r="BF159">
            <v>5499</v>
          </cell>
          <cell r="BG159">
            <v>5182</v>
          </cell>
          <cell r="BH159">
            <v>33</v>
          </cell>
          <cell r="BI159">
            <v>117572220</v>
          </cell>
          <cell r="BJ159">
            <v>118302908</v>
          </cell>
          <cell r="BL159">
            <v>227</v>
          </cell>
          <cell r="BM159">
            <v>332</v>
          </cell>
          <cell r="BN159">
            <v>337</v>
          </cell>
          <cell r="BO159">
            <v>97</v>
          </cell>
          <cell r="BP159">
            <v>72</v>
          </cell>
          <cell r="BQ159">
            <v>59</v>
          </cell>
        </row>
        <row r="160">
          <cell r="A160">
            <v>365</v>
          </cell>
          <cell r="B160" t="str">
            <v>365 - Garnett</v>
          </cell>
          <cell r="C160" t="str">
            <v>Anderson</v>
          </cell>
          <cell r="D160">
            <v>116297968</v>
          </cell>
          <cell r="E160">
            <v>103183441</v>
          </cell>
          <cell r="F160">
            <v>117814604</v>
          </cell>
          <cell r="G160">
            <v>96098457</v>
          </cell>
          <cell r="H160">
            <v>914</v>
          </cell>
          <cell r="I160">
            <v>899.5</v>
          </cell>
          <cell r="J160">
            <v>430</v>
          </cell>
          <cell r="K160">
            <v>9220265</v>
          </cell>
          <cell r="L160">
            <v>925</v>
          </cell>
          <cell r="M160">
            <v>923</v>
          </cell>
          <cell r="N160">
            <v>914</v>
          </cell>
          <cell r="O160">
            <v>887.1</v>
          </cell>
          <cell r="P160">
            <v>1085205</v>
          </cell>
          <cell r="Q160">
            <v>1261023</v>
          </cell>
          <cell r="R160">
            <v>815986</v>
          </cell>
          <cell r="S160">
            <v>918984</v>
          </cell>
          <cell r="T160">
            <v>0</v>
          </cell>
          <cell r="U160">
            <v>49</v>
          </cell>
          <cell r="V160">
            <v>0</v>
          </cell>
          <cell r="W160">
            <v>0</v>
          </cell>
          <cell r="X160">
            <v>402</v>
          </cell>
          <cell r="Y160">
            <v>99</v>
          </cell>
          <cell r="Z160">
            <v>0</v>
          </cell>
          <cell r="AA160">
            <v>0</v>
          </cell>
          <cell r="AB160">
            <v>0.22420000000000001</v>
          </cell>
          <cell r="AC160">
            <v>998724</v>
          </cell>
          <cell r="AD160">
            <v>926782</v>
          </cell>
          <cell r="AE160">
            <v>926782</v>
          </cell>
          <cell r="AF160">
            <v>923</v>
          </cell>
          <cell r="AG160">
            <v>923</v>
          </cell>
          <cell r="AH160">
            <v>914</v>
          </cell>
          <cell r="AI160">
            <v>886.1</v>
          </cell>
          <cell r="AJ160">
            <v>0</v>
          </cell>
          <cell r="AM160">
            <v>0</v>
          </cell>
          <cell r="AN160">
            <v>0</v>
          </cell>
          <cell r="AO160">
            <v>878.1</v>
          </cell>
          <cell r="AQ160">
            <v>0</v>
          </cell>
          <cell r="AT160">
            <v>0</v>
          </cell>
          <cell r="AU160">
            <v>0</v>
          </cell>
          <cell r="AV160">
            <v>7591870</v>
          </cell>
          <cell r="AW160">
            <v>83460</v>
          </cell>
          <cell r="AX160">
            <v>35170</v>
          </cell>
          <cell r="AY160">
            <v>880426</v>
          </cell>
          <cell r="AZ160">
            <v>1</v>
          </cell>
          <cell r="BA160">
            <v>1</v>
          </cell>
          <cell r="BB160">
            <v>0</v>
          </cell>
          <cell r="BC160">
            <v>0</v>
          </cell>
          <cell r="BE160">
            <v>7959242</v>
          </cell>
          <cell r="BF160">
            <v>1771</v>
          </cell>
          <cell r="BG160">
            <v>4406</v>
          </cell>
          <cell r="BH160">
            <v>33</v>
          </cell>
          <cell r="BI160">
            <v>115974487</v>
          </cell>
          <cell r="BJ160">
            <v>117232017</v>
          </cell>
          <cell r="BL160">
            <v>316</v>
          </cell>
          <cell r="BM160">
            <v>395</v>
          </cell>
          <cell r="BN160">
            <v>398</v>
          </cell>
          <cell r="BO160">
            <v>104</v>
          </cell>
          <cell r="BP160">
            <v>125</v>
          </cell>
          <cell r="BQ160">
            <v>108</v>
          </cell>
        </row>
        <row r="161">
          <cell r="A161">
            <v>366</v>
          </cell>
          <cell r="B161" t="str">
            <v>366 - Woodson</v>
          </cell>
          <cell r="C161" t="str">
            <v>Woodson</v>
          </cell>
          <cell r="D161">
            <v>42153484</v>
          </cell>
          <cell r="E161">
            <v>36631347</v>
          </cell>
          <cell r="F161">
            <v>43477922</v>
          </cell>
          <cell r="G161">
            <v>35240337</v>
          </cell>
          <cell r="H161">
            <v>376</v>
          </cell>
          <cell r="I161">
            <v>396.5</v>
          </cell>
          <cell r="J161">
            <v>422</v>
          </cell>
          <cell r="K161">
            <v>4583576</v>
          </cell>
          <cell r="L161">
            <v>389.7</v>
          </cell>
          <cell r="M161">
            <v>390.8</v>
          </cell>
          <cell r="N161">
            <v>410.4</v>
          </cell>
          <cell r="O161">
            <v>410</v>
          </cell>
          <cell r="P161">
            <v>488001</v>
          </cell>
          <cell r="Q161">
            <v>572131</v>
          </cell>
          <cell r="R161">
            <v>530551</v>
          </cell>
          <cell r="S161">
            <v>550054</v>
          </cell>
          <cell r="T161">
            <v>8523</v>
          </cell>
          <cell r="U161">
            <v>17422</v>
          </cell>
          <cell r="V161">
            <v>0</v>
          </cell>
          <cell r="W161">
            <v>0.26</v>
          </cell>
          <cell r="X161">
            <v>188</v>
          </cell>
          <cell r="Y161">
            <v>62</v>
          </cell>
          <cell r="Z161">
            <v>0.25</v>
          </cell>
          <cell r="AA161">
            <v>0</v>
          </cell>
          <cell r="AB161">
            <v>0.35370000000000001</v>
          </cell>
          <cell r="AC161">
            <v>430733</v>
          </cell>
          <cell r="AD161">
            <v>406185</v>
          </cell>
          <cell r="AE161">
            <v>406185</v>
          </cell>
          <cell r="AF161">
            <v>383.7</v>
          </cell>
          <cell r="AG161">
            <v>384</v>
          </cell>
          <cell r="AH161">
            <v>408.5</v>
          </cell>
          <cell r="AI161">
            <v>408</v>
          </cell>
          <cell r="AJ161">
            <v>0</v>
          </cell>
          <cell r="AM161">
            <v>7</v>
          </cell>
          <cell r="AN161">
            <v>0</v>
          </cell>
          <cell r="AO161">
            <v>398.5</v>
          </cell>
          <cell r="AQ161">
            <v>0</v>
          </cell>
          <cell r="AT161">
            <v>0</v>
          </cell>
          <cell r="AU161">
            <v>0</v>
          </cell>
          <cell r="AV161">
            <v>3700565</v>
          </cell>
          <cell r="AW161">
            <v>80885</v>
          </cell>
          <cell r="AX161">
            <v>91212</v>
          </cell>
          <cell r="AY161">
            <v>512118</v>
          </cell>
          <cell r="AZ161">
            <v>1</v>
          </cell>
          <cell r="BA161">
            <v>1</v>
          </cell>
          <cell r="BB161">
            <v>0</v>
          </cell>
          <cell r="BC161">
            <v>0</v>
          </cell>
          <cell r="BE161">
            <v>4009974</v>
          </cell>
          <cell r="BF161">
            <v>2411</v>
          </cell>
          <cell r="BG161">
            <v>1728</v>
          </cell>
          <cell r="BH161">
            <v>33</v>
          </cell>
          <cell r="BI161">
            <v>42153484</v>
          </cell>
          <cell r="BJ161">
            <v>43477922</v>
          </cell>
          <cell r="BL161">
            <v>129</v>
          </cell>
          <cell r="BM161">
            <v>189</v>
          </cell>
          <cell r="BN161">
            <v>193</v>
          </cell>
          <cell r="BO161">
            <v>57</v>
          </cell>
          <cell r="BP161">
            <v>27</v>
          </cell>
          <cell r="BQ161">
            <v>44</v>
          </cell>
        </row>
        <row r="162">
          <cell r="A162">
            <v>367</v>
          </cell>
          <cell r="B162" t="str">
            <v>367 - Osawatomie</v>
          </cell>
          <cell r="C162" t="str">
            <v>Miami</v>
          </cell>
          <cell r="D162">
            <v>81921062</v>
          </cell>
          <cell r="E162">
            <v>70251161</v>
          </cell>
          <cell r="F162">
            <v>86652890</v>
          </cell>
          <cell r="G162">
            <v>66324373</v>
          </cell>
          <cell r="H162">
            <v>987</v>
          </cell>
          <cell r="I162">
            <v>944.8</v>
          </cell>
          <cell r="J162">
            <v>103</v>
          </cell>
          <cell r="K162">
            <v>10628097</v>
          </cell>
          <cell r="L162">
            <v>1031.5</v>
          </cell>
          <cell r="M162">
            <v>1006.5</v>
          </cell>
          <cell r="N162">
            <v>979.8</v>
          </cell>
          <cell r="O162">
            <v>951.3</v>
          </cell>
          <cell r="P162">
            <v>1785873</v>
          </cell>
          <cell r="Q162">
            <v>2028678</v>
          </cell>
          <cell r="R162">
            <v>1923073</v>
          </cell>
          <cell r="S162">
            <v>1467129</v>
          </cell>
          <cell r="T162">
            <v>0</v>
          </cell>
          <cell r="U162">
            <v>15296</v>
          </cell>
          <cell r="V162">
            <v>0</v>
          </cell>
          <cell r="W162">
            <v>0.41</v>
          </cell>
          <cell r="X162">
            <v>517</v>
          </cell>
          <cell r="Y162">
            <v>110</v>
          </cell>
          <cell r="Z162">
            <v>0.4</v>
          </cell>
          <cell r="AA162">
            <v>0</v>
          </cell>
          <cell r="AB162">
            <v>0.49330000000000002</v>
          </cell>
          <cell r="AC162">
            <v>1009803</v>
          </cell>
          <cell r="AD162">
            <v>941469</v>
          </cell>
          <cell r="AE162">
            <v>941469</v>
          </cell>
          <cell r="AF162">
            <v>1016.5</v>
          </cell>
          <cell r="AG162">
            <v>1001.5</v>
          </cell>
          <cell r="AH162">
            <v>964.8</v>
          </cell>
          <cell r="AI162">
            <v>931.5</v>
          </cell>
          <cell r="AJ162">
            <v>0</v>
          </cell>
          <cell r="AM162">
            <v>1</v>
          </cell>
          <cell r="AN162">
            <v>0</v>
          </cell>
          <cell r="AO162">
            <v>918</v>
          </cell>
          <cell r="AQ162">
            <v>0</v>
          </cell>
          <cell r="AT162">
            <v>0</v>
          </cell>
          <cell r="AU162">
            <v>0</v>
          </cell>
          <cell r="AV162">
            <v>8444108</v>
          </cell>
          <cell r="AW162">
            <v>365996</v>
          </cell>
          <cell r="AX162">
            <v>324845</v>
          </cell>
          <cell r="AY162">
            <v>2013051</v>
          </cell>
          <cell r="AZ162">
            <v>1</v>
          </cell>
          <cell r="BA162">
            <v>1</v>
          </cell>
          <cell r="BB162">
            <v>0</v>
          </cell>
          <cell r="BC162">
            <v>0</v>
          </cell>
          <cell r="BE162">
            <v>8599419</v>
          </cell>
          <cell r="BF162">
            <v>1425</v>
          </cell>
          <cell r="BG162">
            <v>12088</v>
          </cell>
          <cell r="BH162">
            <v>33</v>
          </cell>
          <cell r="BI162">
            <v>81746766</v>
          </cell>
          <cell r="BJ162">
            <v>86417737</v>
          </cell>
          <cell r="BL162">
            <v>475</v>
          </cell>
          <cell r="BM162">
            <v>604</v>
          </cell>
          <cell r="BN162">
            <v>545</v>
          </cell>
          <cell r="BO162">
            <v>177</v>
          </cell>
          <cell r="BP162">
            <v>111</v>
          </cell>
          <cell r="BQ162">
            <v>102</v>
          </cell>
        </row>
        <row r="163">
          <cell r="A163">
            <v>368</v>
          </cell>
          <cell r="B163" t="str">
            <v>368 - Paola</v>
          </cell>
          <cell r="C163" t="str">
            <v>Miami</v>
          </cell>
          <cell r="D163">
            <v>242478350</v>
          </cell>
          <cell r="E163">
            <v>220445134</v>
          </cell>
          <cell r="F163">
            <v>254109919</v>
          </cell>
          <cell r="G163">
            <v>214889431</v>
          </cell>
          <cell r="H163">
            <v>1773</v>
          </cell>
          <cell r="I163">
            <v>1772.7</v>
          </cell>
          <cell r="J163">
            <v>200</v>
          </cell>
          <cell r="K163">
            <v>14507105</v>
          </cell>
          <cell r="L163">
            <v>1787.8</v>
          </cell>
          <cell r="M163">
            <v>1797.3</v>
          </cell>
          <cell r="N163">
            <v>1794.7</v>
          </cell>
          <cell r="O163">
            <v>1767.6</v>
          </cell>
          <cell r="P163">
            <v>1880664</v>
          </cell>
          <cell r="Q163">
            <v>1986530</v>
          </cell>
          <cell r="R163">
            <v>1146529</v>
          </cell>
          <cell r="S163">
            <v>1671914</v>
          </cell>
          <cell r="T163">
            <v>23219</v>
          </cell>
          <cell r="U163">
            <v>31735</v>
          </cell>
          <cell r="V163">
            <v>0</v>
          </cell>
          <cell r="W163">
            <v>0</v>
          </cell>
          <cell r="X163">
            <v>591</v>
          </cell>
          <cell r="Y163">
            <v>99</v>
          </cell>
          <cell r="Z163">
            <v>0</v>
          </cell>
          <cell r="AA163">
            <v>0</v>
          </cell>
          <cell r="AB163">
            <v>0.17829999999999999</v>
          </cell>
          <cell r="AC163">
            <v>3337979</v>
          </cell>
          <cell r="AD163">
            <v>3201140</v>
          </cell>
          <cell r="AE163">
            <v>3201140</v>
          </cell>
          <cell r="AF163">
            <v>1760</v>
          </cell>
          <cell r="AG163">
            <v>1773</v>
          </cell>
          <cell r="AH163">
            <v>1772.7</v>
          </cell>
          <cell r="AI163">
            <v>1743.6</v>
          </cell>
          <cell r="AJ163">
            <v>2.7E-2</v>
          </cell>
          <cell r="AM163">
            <v>4</v>
          </cell>
          <cell r="AN163">
            <v>0</v>
          </cell>
          <cell r="AO163">
            <v>1743.6</v>
          </cell>
          <cell r="AQ163">
            <v>0</v>
          </cell>
          <cell r="AT163">
            <v>0</v>
          </cell>
          <cell r="AU163">
            <v>0</v>
          </cell>
          <cell r="AV163">
            <v>11852422</v>
          </cell>
          <cell r="AW163">
            <v>150062</v>
          </cell>
          <cell r="AX163">
            <v>0</v>
          </cell>
          <cell r="AY163">
            <v>1306450</v>
          </cell>
          <cell r="AZ163">
            <v>1</v>
          </cell>
          <cell r="BA163">
            <v>1</v>
          </cell>
          <cell r="BB163">
            <v>221600</v>
          </cell>
          <cell r="BC163">
            <v>248470</v>
          </cell>
          <cell r="BE163">
            <v>12520575</v>
          </cell>
          <cell r="BF163">
            <v>4436</v>
          </cell>
          <cell r="BG163">
            <v>18801</v>
          </cell>
          <cell r="BH163">
            <v>33</v>
          </cell>
          <cell r="BI163">
            <v>242347547</v>
          </cell>
          <cell r="BJ163">
            <v>253457526</v>
          </cell>
          <cell r="BL163">
            <v>469</v>
          </cell>
          <cell r="BM163">
            <v>547</v>
          </cell>
          <cell r="BN163">
            <v>601</v>
          </cell>
          <cell r="BO163">
            <v>66</v>
          </cell>
          <cell r="BP163">
            <v>90</v>
          </cell>
          <cell r="BQ163">
            <v>118</v>
          </cell>
        </row>
        <row r="164">
          <cell r="A164">
            <v>369</v>
          </cell>
          <cell r="B164" t="str">
            <v>369 - Burrton</v>
          </cell>
          <cell r="C164" t="str">
            <v>Harvey</v>
          </cell>
          <cell r="D164">
            <v>22075894</v>
          </cell>
          <cell r="E164">
            <v>19470814</v>
          </cell>
          <cell r="F164">
            <v>21974621</v>
          </cell>
          <cell r="G164">
            <v>17745573</v>
          </cell>
          <cell r="H164">
            <v>153.5</v>
          </cell>
          <cell r="I164">
            <v>132</v>
          </cell>
          <cell r="J164">
            <v>95</v>
          </cell>
          <cell r="K164">
            <v>1989322</v>
          </cell>
          <cell r="L164">
            <v>178</v>
          </cell>
          <cell r="M164">
            <v>156.5</v>
          </cell>
          <cell r="N164">
            <v>134.5</v>
          </cell>
          <cell r="O164">
            <v>114</v>
          </cell>
          <cell r="P164">
            <v>229458</v>
          </cell>
          <cell r="Q164">
            <v>259959</v>
          </cell>
          <cell r="R164">
            <v>91872</v>
          </cell>
          <cell r="S164">
            <v>209309</v>
          </cell>
          <cell r="T164">
            <v>10932</v>
          </cell>
          <cell r="U164">
            <v>2193</v>
          </cell>
          <cell r="V164">
            <v>0</v>
          </cell>
          <cell r="W164">
            <v>0</v>
          </cell>
          <cell r="X164">
            <v>64</v>
          </cell>
          <cell r="Y164">
            <v>7</v>
          </cell>
          <cell r="Z164">
            <v>0</v>
          </cell>
          <cell r="AA164">
            <v>0</v>
          </cell>
          <cell r="AB164">
            <v>0</v>
          </cell>
          <cell r="AC164">
            <v>177908</v>
          </cell>
          <cell r="AD164">
            <v>165260</v>
          </cell>
          <cell r="AE164">
            <v>165260</v>
          </cell>
          <cell r="AF164">
            <v>178</v>
          </cell>
          <cell r="AG164">
            <v>156.5</v>
          </cell>
          <cell r="AH164">
            <v>134.5</v>
          </cell>
          <cell r="AI164">
            <v>114</v>
          </cell>
          <cell r="AJ164">
            <v>0</v>
          </cell>
          <cell r="AM164">
            <v>0</v>
          </cell>
          <cell r="AN164">
            <v>0</v>
          </cell>
          <cell r="AO164">
            <v>110.5</v>
          </cell>
          <cell r="AQ164">
            <v>0</v>
          </cell>
          <cell r="AT164">
            <v>0</v>
          </cell>
          <cell r="AU164">
            <v>0</v>
          </cell>
          <cell r="AV164">
            <v>1871279</v>
          </cell>
          <cell r="AW164">
            <v>0</v>
          </cell>
          <cell r="AX164">
            <v>0</v>
          </cell>
          <cell r="AY164">
            <v>179117</v>
          </cell>
          <cell r="AZ164">
            <v>1</v>
          </cell>
          <cell r="BA164">
            <v>1</v>
          </cell>
          <cell r="BB164">
            <v>0</v>
          </cell>
          <cell r="BC164">
            <v>0</v>
          </cell>
          <cell r="BE164">
            <v>1724450</v>
          </cell>
          <cell r="BF164">
            <v>1277</v>
          </cell>
          <cell r="BG164">
            <v>1641</v>
          </cell>
          <cell r="BH164">
            <v>33</v>
          </cell>
          <cell r="BI164">
            <v>22064286</v>
          </cell>
          <cell r="BJ164">
            <v>21964679</v>
          </cell>
          <cell r="BL164">
            <v>66</v>
          </cell>
          <cell r="BM164">
            <v>67</v>
          </cell>
          <cell r="BN164">
            <v>60</v>
          </cell>
          <cell r="BO164">
            <v>30</v>
          </cell>
          <cell r="BP164">
            <v>20</v>
          </cell>
          <cell r="BQ164">
            <v>11</v>
          </cell>
        </row>
        <row r="165">
          <cell r="A165">
            <v>371</v>
          </cell>
          <cell r="B165" t="str">
            <v>371 - Montezuma</v>
          </cell>
          <cell r="C165" t="str">
            <v>Gray</v>
          </cell>
          <cell r="D165">
            <v>32792926</v>
          </cell>
          <cell r="E165">
            <v>29989078</v>
          </cell>
          <cell r="F165">
            <v>33630233</v>
          </cell>
          <cell r="G165">
            <v>28766143</v>
          </cell>
          <cell r="H165">
            <v>189.5</v>
          </cell>
          <cell r="I165">
            <v>178.5</v>
          </cell>
          <cell r="J165">
            <v>200.8</v>
          </cell>
          <cell r="K165">
            <v>2181855</v>
          </cell>
          <cell r="L165">
            <v>194.4</v>
          </cell>
          <cell r="M165">
            <v>196.3</v>
          </cell>
          <cell r="N165">
            <v>180.5</v>
          </cell>
          <cell r="O165">
            <v>176</v>
          </cell>
          <cell r="P165">
            <v>126458</v>
          </cell>
          <cell r="Q165">
            <v>146088</v>
          </cell>
          <cell r="R165">
            <v>0</v>
          </cell>
          <cell r="S165">
            <v>157284</v>
          </cell>
          <cell r="T165">
            <v>0</v>
          </cell>
          <cell r="U165">
            <v>0</v>
          </cell>
          <cell r="V165">
            <v>0</v>
          </cell>
          <cell r="W165">
            <v>0</v>
          </cell>
          <cell r="X165">
            <v>44</v>
          </cell>
          <cell r="Y165">
            <v>18</v>
          </cell>
          <cell r="Z165">
            <v>0</v>
          </cell>
          <cell r="AA165">
            <v>0</v>
          </cell>
          <cell r="AB165">
            <v>0</v>
          </cell>
          <cell r="AC165">
            <v>240315</v>
          </cell>
          <cell r="AD165">
            <v>220407</v>
          </cell>
          <cell r="AE165">
            <v>220407</v>
          </cell>
          <cell r="AF165">
            <v>185.6</v>
          </cell>
          <cell r="AG165">
            <v>191</v>
          </cell>
          <cell r="AH165">
            <v>180.5</v>
          </cell>
          <cell r="AI165">
            <v>176</v>
          </cell>
          <cell r="AJ165">
            <v>0</v>
          </cell>
          <cell r="AM165">
            <v>0</v>
          </cell>
          <cell r="AN165">
            <v>0</v>
          </cell>
          <cell r="AO165">
            <v>175.5</v>
          </cell>
          <cell r="AQ165">
            <v>0</v>
          </cell>
          <cell r="AT165">
            <v>0</v>
          </cell>
          <cell r="AU165">
            <v>0</v>
          </cell>
          <cell r="AV165">
            <v>1975299</v>
          </cell>
          <cell r="AW165">
            <v>0</v>
          </cell>
          <cell r="AX165">
            <v>0</v>
          </cell>
          <cell r="AY165">
            <v>10922</v>
          </cell>
          <cell r="AZ165">
            <v>1</v>
          </cell>
          <cell r="BA165">
            <v>1</v>
          </cell>
          <cell r="BB165">
            <v>0</v>
          </cell>
          <cell r="BC165">
            <v>0</v>
          </cell>
          <cell r="BE165">
            <v>2035221</v>
          </cell>
          <cell r="BF165">
            <v>2904</v>
          </cell>
          <cell r="BG165">
            <v>1986</v>
          </cell>
          <cell r="BH165">
            <v>33</v>
          </cell>
          <cell r="BI165">
            <v>32116524</v>
          </cell>
          <cell r="BJ165">
            <v>32692253</v>
          </cell>
          <cell r="BL165">
            <v>31</v>
          </cell>
          <cell r="BM165">
            <v>47</v>
          </cell>
          <cell r="BN165">
            <v>44</v>
          </cell>
          <cell r="BO165">
            <v>31</v>
          </cell>
          <cell r="BP165">
            <v>27</v>
          </cell>
          <cell r="BQ165">
            <v>25</v>
          </cell>
        </row>
        <row r="166">
          <cell r="A166">
            <v>372</v>
          </cell>
          <cell r="B166" t="str">
            <v>372 - Silver Lake</v>
          </cell>
          <cell r="C166" t="str">
            <v>Shawnee</v>
          </cell>
          <cell r="D166">
            <v>48051261</v>
          </cell>
          <cell r="E166">
            <v>41941522</v>
          </cell>
          <cell r="F166">
            <v>49804842</v>
          </cell>
          <cell r="G166">
            <v>39042014</v>
          </cell>
          <cell r="H166">
            <v>651</v>
          </cell>
          <cell r="I166">
            <v>663</v>
          </cell>
          <cell r="J166">
            <v>94</v>
          </cell>
          <cell r="K166">
            <v>6412727</v>
          </cell>
          <cell r="L166">
            <v>693.3</v>
          </cell>
          <cell r="M166">
            <v>659</v>
          </cell>
          <cell r="N166">
            <v>671.5</v>
          </cell>
          <cell r="O166">
            <v>682</v>
          </cell>
          <cell r="P166">
            <v>612358</v>
          </cell>
          <cell r="Q166">
            <v>747940</v>
          </cell>
          <cell r="R166">
            <v>1232436</v>
          </cell>
          <cell r="S166">
            <v>620221</v>
          </cell>
          <cell r="T166">
            <v>4958</v>
          </cell>
          <cell r="U166">
            <v>7537</v>
          </cell>
          <cell r="V166">
            <v>0.12</v>
          </cell>
          <cell r="W166">
            <v>0.59</v>
          </cell>
          <cell r="X166">
            <v>141</v>
          </cell>
          <cell r="Y166">
            <v>13</v>
          </cell>
          <cell r="Z166">
            <v>0.57999999999999996</v>
          </cell>
          <cell r="AA166">
            <v>0.03</v>
          </cell>
          <cell r="AB166">
            <v>0.56100000000000005</v>
          </cell>
          <cell r="AC166">
            <v>784585</v>
          </cell>
          <cell r="AD166">
            <v>736809</v>
          </cell>
          <cell r="AE166">
            <v>736809</v>
          </cell>
          <cell r="AF166">
            <v>693</v>
          </cell>
          <cell r="AG166">
            <v>659</v>
          </cell>
          <cell r="AH166">
            <v>671.5</v>
          </cell>
          <cell r="AI166">
            <v>682</v>
          </cell>
          <cell r="AJ166">
            <v>0</v>
          </cell>
          <cell r="AM166">
            <v>7</v>
          </cell>
          <cell r="AN166">
            <v>0</v>
          </cell>
          <cell r="AO166">
            <v>676</v>
          </cell>
          <cell r="AQ166">
            <v>0</v>
          </cell>
          <cell r="AT166">
            <v>0</v>
          </cell>
          <cell r="AU166">
            <v>0</v>
          </cell>
          <cell r="AV166">
            <v>5376861</v>
          </cell>
          <cell r="AW166">
            <v>226576</v>
          </cell>
          <cell r="AX166">
            <v>242895</v>
          </cell>
          <cell r="AY166">
            <v>1196730</v>
          </cell>
          <cell r="AZ166">
            <v>1</v>
          </cell>
          <cell r="BA166">
            <v>1</v>
          </cell>
          <cell r="BB166">
            <v>0</v>
          </cell>
          <cell r="BC166">
            <v>0</v>
          </cell>
          <cell r="BE166">
            <v>5664787</v>
          </cell>
          <cell r="BF166">
            <v>5885</v>
          </cell>
          <cell r="BG166">
            <v>2249</v>
          </cell>
          <cell r="BH166">
            <v>33</v>
          </cell>
          <cell r="BI166">
            <v>48051261</v>
          </cell>
          <cell r="BJ166">
            <v>49804842</v>
          </cell>
          <cell r="BL166">
            <v>69</v>
          </cell>
          <cell r="BM166">
            <v>116</v>
          </cell>
          <cell r="BN166">
            <v>124</v>
          </cell>
          <cell r="BO166">
            <v>27</v>
          </cell>
          <cell r="BP166">
            <v>24</v>
          </cell>
          <cell r="BQ166">
            <v>14</v>
          </cell>
        </row>
        <row r="167">
          <cell r="A167">
            <v>373</v>
          </cell>
          <cell r="B167" t="str">
            <v>373 - Newton</v>
          </cell>
          <cell r="C167" t="str">
            <v>Harvey</v>
          </cell>
          <cell r="D167">
            <v>203387668</v>
          </cell>
          <cell r="E167">
            <v>166093807</v>
          </cell>
          <cell r="F167">
            <v>224666473</v>
          </cell>
          <cell r="G167">
            <v>160960425</v>
          </cell>
          <cell r="H167">
            <v>2978.4</v>
          </cell>
          <cell r="I167">
            <v>2884.8</v>
          </cell>
          <cell r="J167">
            <v>133.5</v>
          </cell>
          <cell r="K167">
            <v>26055280</v>
          </cell>
          <cell r="L167">
            <v>3070.1</v>
          </cell>
          <cell r="M167">
            <v>3021.7</v>
          </cell>
          <cell r="N167">
            <v>2963.2</v>
          </cell>
          <cell r="O167">
            <v>2855.8</v>
          </cell>
          <cell r="P167">
            <v>3346842</v>
          </cell>
          <cell r="Q167">
            <v>3587800</v>
          </cell>
          <cell r="R167">
            <v>5051545</v>
          </cell>
          <cell r="S167">
            <v>3030773</v>
          </cell>
          <cell r="T167">
            <v>0</v>
          </cell>
          <cell r="U167">
            <v>0</v>
          </cell>
          <cell r="V167">
            <v>7.0000000000000007E-2</v>
          </cell>
          <cell r="W167">
            <v>0.53</v>
          </cell>
          <cell r="X167">
            <v>1535</v>
          </cell>
          <cell r="Y167">
            <v>278</v>
          </cell>
          <cell r="Z167">
            <v>0.53</v>
          </cell>
          <cell r="AA167">
            <v>0</v>
          </cell>
          <cell r="AB167">
            <v>0.56540000000000001</v>
          </cell>
          <cell r="AC167">
            <v>3786765</v>
          </cell>
          <cell r="AD167">
            <v>3635572</v>
          </cell>
          <cell r="AE167">
            <v>3635572</v>
          </cell>
          <cell r="AF167">
            <v>3062.1</v>
          </cell>
          <cell r="AG167">
            <v>3010.4</v>
          </cell>
          <cell r="AH167">
            <v>2945.8</v>
          </cell>
          <cell r="AI167">
            <v>2851.4</v>
          </cell>
          <cell r="AJ167">
            <v>0</v>
          </cell>
          <cell r="AM167">
            <v>3</v>
          </cell>
          <cell r="AN167">
            <v>0</v>
          </cell>
          <cell r="AO167">
            <v>2782.4</v>
          </cell>
          <cell r="AQ167">
            <v>0</v>
          </cell>
          <cell r="AT167">
            <v>0</v>
          </cell>
          <cell r="AU167">
            <v>0</v>
          </cell>
          <cell r="AV167">
            <v>21888709</v>
          </cell>
          <cell r="AW167">
            <v>1004379</v>
          </cell>
          <cell r="AX167">
            <v>1156926</v>
          </cell>
          <cell r="AY167">
            <v>4859960</v>
          </cell>
          <cell r="AZ167">
            <v>1</v>
          </cell>
          <cell r="BA167">
            <v>1</v>
          </cell>
          <cell r="BB167">
            <v>98610</v>
          </cell>
          <cell r="BC167">
            <v>119020</v>
          </cell>
          <cell r="BE167">
            <v>22467172</v>
          </cell>
          <cell r="BF167">
            <v>6546</v>
          </cell>
          <cell r="BG167">
            <v>19538</v>
          </cell>
          <cell r="BH167">
            <v>33</v>
          </cell>
          <cell r="BI167">
            <v>203049786</v>
          </cell>
          <cell r="BJ167">
            <v>225962125</v>
          </cell>
          <cell r="BL167">
            <v>1121</v>
          </cell>
          <cell r="BM167">
            <v>1509</v>
          </cell>
          <cell r="BN167">
            <v>1540</v>
          </cell>
          <cell r="BO167">
            <v>349</v>
          </cell>
          <cell r="BP167">
            <v>245</v>
          </cell>
          <cell r="BQ167">
            <v>256</v>
          </cell>
        </row>
        <row r="168">
          <cell r="A168">
            <v>374</v>
          </cell>
          <cell r="B168" t="str">
            <v>374 - Sublette</v>
          </cell>
          <cell r="C168" t="str">
            <v>Haskell</v>
          </cell>
          <cell r="D168">
            <v>70692545</v>
          </cell>
          <cell r="E168">
            <v>66758997</v>
          </cell>
          <cell r="F168">
            <v>64200472</v>
          </cell>
          <cell r="G168">
            <v>57688606</v>
          </cell>
          <cell r="H168">
            <v>370.9</v>
          </cell>
          <cell r="I168">
            <v>353.2</v>
          </cell>
          <cell r="J168">
            <v>355.5</v>
          </cell>
          <cell r="K168">
            <v>4209361</v>
          </cell>
          <cell r="L168">
            <v>359</v>
          </cell>
          <cell r="M168">
            <v>377.9</v>
          </cell>
          <cell r="N168">
            <v>363.7</v>
          </cell>
          <cell r="O168">
            <v>348.5</v>
          </cell>
          <cell r="P168">
            <v>230747</v>
          </cell>
          <cell r="Q168">
            <v>263163</v>
          </cell>
          <cell r="R168">
            <v>0</v>
          </cell>
          <cell r="S168">
            <v>311042</v>
          </cell>
          <cell r="T168">
            <v>8519</v>
          </cell>
          <cell r="U168">
            <v>10532</v>
          </cell>
          <cell r="V168">
            <v>0</v>
          </cell>
          <cell r="W168">
            <v>0</v>
          </cell>
          <cell r="X168">
            <v>225</v>
          </cell>
          <cell r="Y168">
            <v>25</v>
          </cell>
          <cell r="Z168">
            <v>0</v>
          </cell>
          <cell r="AA168">
            <v>0</v>
          </cell>
          <cell r="AB168">
            <v>0</v>
          </cell>
          <cell r="AC168">
            <v>559093</v>
          </cell>
          <cell r="AD168">
            <v>493475</v>
          </cell>
          <cell r="AE168">
            <v>493475</v>
          </cell>
          <cell r="AF168">
            <v>359</v>
          </cell>
          <cell r="AG168">
            <v>377.9</v>
          </cell>
          <cell r="AH168">
            <v>363.7</v>
          </cell>
          <cell r="AI168">
            <v>348.5</v>
          </cell>
          <cell r="AJ168">
            <v>0</v>
          </cell>
          <cell r="AM168">
            <v>0</v>
          </cell>
          <cell r="AN168">
            <v>0</v>
          </cell>
          <cell r="AO168">
            <v>342.5</v>
          </cell>
          <cell r="AQ168">
            <v>0</v>
          </cell>
          <cell r="AT168">
            <v>0</v>
          </cell>
          <cell r="AU168">
            <v>0</v>
          </cell>
          <cell r="AV168">
            <v>3720704</v>
          </cell>
          <cell r="AW168">
            <v>0</v>
          </cell>
          <cell r="AX168">
            <v>0</v>
          </cell>
          <cell r="AY168">
            <v>0</v>
          </cell>
          <cell r="AZ168">
            <v>1</v>
          </cell>
          <cell r="BA168">
            <v>1</v>
          </cell>
          <cell r="BB168">
            <v>0</v>
          </cell>
          <cell r="BC168">
            <v>0</v>
          </cell>
          <cell r="BE168">
            <v>3852655</v>
          </cell>
          <cell r="BF168">
            <v>3134</v>
          </cell>
          <cell r="BG168">
            <v>3519</v>
          </cell>
          <cell r="BH168">
            <v>33</v>
          </cell>
          <cell r="BI168">
            <v>70953860</v>
          </cell>
          <cell r="BJ168">
            <v>64649613</v>
          </cell>
          <cell r="BL168">
            <v>204</v>
          </cell>
          <cell r="BM168">
            <v>218</v>
          </cell>
          <cell r="BN168">
            <v>231</v>
          </cell>
          <cell r="BO168">
            <v>41</v>
          </cell>
          <cell r="BP168">
            <v>41</v>
          </cell>
          <cell r="BQ168">
            <v>29</v>
          </cell>
        </row>
        <row r="169">
          <cell r="A169">
            <v>375</v>
          </cell>
          <cell r="B169" t="str">
            <v>375 - Circle</v>
          </cell>
          <cell r="C169" t="str">
            <v>Butler</v>
          </cell>
          <cell r="D169">
            <v>328189232</v>
          </cell>
          <cell r="E169">
            <v>308891683</v>
          </cell>
          <cell r="F169">
            <v>351289608</v>
          </cell>
          <cell r="G169">
            <v>317085506</v>
          </cell>
          <cell r="H169">
            <v>1989.1</v>
          </cell>
          <cell r="I169">
            <v>1999.1</v>
          </cell>
          <cell r="J169">
            <v>175</v>
          </cell>
          <cell r="K169">
            <v>15748765</v>
          </cell>
          <cell r="L169">
            <v>1961.2</v>
          </cell>
          <cell r="M169">
            <v>2024.1</v>
          </cell>
          <cell r="N169">
            <v>2036.8</v>
          </cell>
          <cell r="O169">
            <v>2056.3000000000002</v>
          </cell>
          <cell r="P169">
            <v>1739939</v>
          </cell>
          <cell r="Q169">
            <v>1861738</v>
          </cell>
          <cell r="R169">
            <v>229587</v>
          </cell>
          <cell r="S169">
            <v>1237181</v>
          </cell>
          <cell r="T169">
            <v>0</v>
          </cell>
          <cell r="U169">
            <v>1421</v>
          </cell>
          <cell r="V169">
            <v>0</v>
          </cell>
          <cell r="W169">
            <v>0</v>
          </cell>
          <cell r="X169">
            <v>641</v>
          </cell>
          <cell r="Y169">
            <v>127</v>
          </cell>
          <cell r="Z169">
            <v>0</v>
          </cell>
          <cell r="AA169">
            <v>0</v>
          </cell>
          <cell r="AB169">
            <v>5.4999999999999997E-3</v>
          </cell>
          <cell r="AC169">
            <v>1740068</v>
          </cell>
          <cell r="AD169">
            <v>1690113</v>
          </cell>
          <cell r="AE169">
            <v>1690113</v>
          </cell>
          <cell r="AF169">
            <v>1940.4</v>
          </cell>
          <cell r="AG169">
            <v>2007.6</v>
          </cell>
          <cell r="AH169">
            <v>2018.1</v>
          </cell>
          <cell r="AI169">
            <v>2032.1</v>
          </cell>
          <cell r="AJ169">
            <v>1.4E-2</v>
          </cell>
          <cell r="AM169">
            <v>4</v>
          </cell>
          <cell r="AN169">
            <v>0</v>
          </cell>
          <cell r="AO169">
            <v>2013.1</v>
          </cell>
          <cell r="AQ169">
            <v>0</v>
          </cell>
          <cell r="AT169">
            <v>0</v>
          </cell>
          <cell r="AU169">
            <v>0</v>
          </cell>
          <cell r="AV169">
            <v>12863537</v>
          </cell>
          <cell r="AW169">
            <v>0</v>
          </cell>
          <cell r="AX169">
            <v>0</v>
          </cell>
          <cell r="AY169">
            <v>277128</v>
          </cell>
          <cell r="AZ169">
            <v>1</v>
          </cell>
          <cell r="BA169">
            <v>1</v>
          </cell>
          <cell r="BB169">
            <v>0</v>
          </cell>
          <cell r="BC169">
            <v>0</v>
          </cell>
          <cell r="BE169">
            <v>13875974</v>
          </cell>
          <cell r="BF169">
            <v>16141</v>
          </cell>
          <cell r="BG169">
            <v>20410</v>
          </cell>
          <cell r="BH169">
            <v>33</v>
          </cell>
          <cell r="BI169">
            <v>344471771</v>
          </cell>
          <cell r="BJ169">
            <v>371532283</v>
          </cell>
          <cell r="BL169">
            <v>454</v>
          </cell>
          <cell r="BM169">
            <v>583</v>
          </cell>
          <cell r="BN169">
            <v>622</v>
          </cell>
          <cell r="BO169">
            <v>108</v>
          </cell>
          <cell r="BP169">
            <v>125</v>
          </cell>
          <cell r="BQ169">
            <v>133</v>
          </cell>
        </row>
        <row r="170">
          <cell r="A170">
            <v>376</v>
          </cell>
          <cell r="B170" t="str">
            <v>376 - Sterling</v>
          </cell>
          <cell r="C170" t="str">
            <v>Rice</v>
          </cell>
          <cell r="D170">
            <v>50490564</v>
          </cell>
          <cell r="E170">
            <v>45102144</v>
          </cell>
          <cell r="F170">
            <v>53513787</v>
          </cell>
          <cell r="G170">
            <v>44886724</v>
          </cell>
          <cell r="H170">
            <v>456</v>
          </cell>
          <cell r="I170">
            <v>485</v>
          </cell>
          <cell r="J170">
            <v>158</v>
          </cell>
          <cell r="K170">
            <v>4855796</v>
          </cell>
          <cell r="L170">
            <v>470</v>
          </cell>
          <cell r="M170">
            <v>460</v>
          </cell>
          <cell r="N170">
            <v>489.5</v>
          </cell>
          <cell r="O170">
            <v>479.8</v>
          </cell>
          <cell r="P170">
            <v>566251</v>
          </cell>
          <cell r="Q170">
            <v>606641</v>
          </cell>
          <cell r="R170">
            <v>633296</v>
          </cell>
          <cell r="S170">
            <v>610570</v>
          </cell>
          <cell r="T170">
            <v>5167</v>
          </cell>
          <cell r="U170">
            <v>5422</v>
          </cell>
          <cell r="V170">
            <v>0</v>
          </cell>
          <cell r="W170">
            <v>0.24</v>
          </cell>
          <cell r="X170">
            <v>139</v>
          </cell>
          <cell r="Y170">
            <v>47</v>
          </cell>
          <cell r="Z170">
            <v>0.23</v>
          </cell>
          <cell r="AA170">
            <v>0</v>
          </cell>
          <cell r="AB170">
            <v>0.36370000000000002</v>
          </cell>
          <cell r="AC170">
            <v>458655</v>
          </cell>
          <cell r="AD170">
            <v>447099</v>
          </cell>
          <cell r="AE170">
            <v>447099</v>
          </cell>
          <cell r="AF170">
            <v>470</v>
          </cell>
          <cell r="AG170">
            <v>460</v>
          </cell>
          <cell r="AH170">
            <v>489.5</v>
          </cell>
          <cell r="AI170">
            <v>479.8</v>
          </cell>
          <cell r="AJ170">
            <v>0</v>
          </cell>
          <cell r="AM170">
            <v>0</v>
          </cell>
          <cell r="AN170">
            <v>0</v>
          </cell>
          <cell r="AO170">
            <v>474.3</v>
          </cell>
          <cell r="AQ170">
            <v>0</v>
          </cell>
          <cell r="AT170">
            <v>0</v>
          </cell>
          <cell r="AU170">
            <v>0</v>
          </cell>
          <cell r="AV170">
            <v>3924431</v>
          </cell>
          <cell r="AW170">
            <v>105442</v>
          </cell>
          <cell r="AX170">
            <v>136118</v>
          </cell>
          <cell r="AY170">
            <v>595605</v>
          </cell>
          <cell r="AZ170">
            <v>1</v>
          </cell>
          <cell r="BA170">
            <v>1</v>
          </cell>
          <cell r="BB170">
            <v>0</v>
          </cell>
          <cell r="BC170">
            <v>0</v>
          </cell>
          <cell r="BE170">
            <v>4248833</v>
          </cell>
          <cell r="BF170">
            <v>2916</v>
          </cell>
          <cell r="BG170">
            <v>2158</v>
          </cell>
          <cell r="BH170">
            <v>33</v>
          </cell>
          <cell r="BI170">
            <v>48846407</v>
          </cell>
          <cell r="BJ170">
            <v>51604844</v>
          </cell>
          <cell r="BL170">
            <v>84</v>
          </cell>
          <cell r="BM170">
            <v>142</v>
          </cell>
          <cell r="BN170">
            <v>149</v>
          </cell>
          <cell r="BO170">
            <v>67</v>
          </cell>
          <cell r="BP170">
            <v>55</v>
          </cell>
          <cell r="BQ170">
            <v>42</v>
          </cell>
        </row>
        <row r="171">
          <cell r="A171">
            <v>377</v>
          </cell>
          <cell r="B171" t="str">
            <v>377 - Atchison Co Comm Schools</v>
          </cell>
          <cell r="C171" t="str">
            <v>Atchison</v>
          </cell>
          <cell r="D171">
            <v>91840636</v>
          </cell>
          <cell r="E171">
            <v>83498966</v>
          </cell>
          <cell r="F171">
            <v>91292967</v>
          </cell>
          <cell r="G171">
            <v>77491358</v>
          </cell>
          <cell r="H171">
            <v>488.5</v>
          </cell>
          <cell r="I171">
            <v>490.5</v>
          </cell>
          <cell r="J171">
            <v>350</v>
          </cell>
          <cell r="K171">
            <v>5353683</v>
          </cell>
          <cell r="L171">
            <v>481</v>
          </cell>
          <cell r="M171">
            <v>495.5</v>
          </cell>
          <cell r="N171">
            <v>498.6</v>
          </cell>
          <cell r="O171">
            <v>483.5</v>
          </cell>
          <cell r="P171">
            <v>668571</v>
          </cell>
          <cell r="Q171">
            <v>634590</v>
          </cell>
          <cell r="R171">
            <v>0</v>
          </cell>
          <cell r="S171">
            <v>870652</v>
          </cell>
          <cell r="T171">
            <v>5597</v>
          </cell>
          <cell r="U171">
            <v>3626</v>
          </cell>
          <cell r="V171">
            <v>0</v>
          </cell>
          <cell r="W171">
            <v>0</v>
          </cell>
          <cell r="X171">
            <v>186</v>
          </cell>
          <cell r="Y171">
            <v>34</v>
          </cell>
          <cell r="Z171">
            <v>0</v>
          </cell>
          <cell r="AA171">
            <v>0</v>
          </cell>
          <cell r="AB171">
            <v>0</v>
          </cell>
          <cell r="AC171">
            <v>463277</v>
          </cell>
          <cell r="AD171">
            <v>472181</v>
          </cell>
          <cell r="AE171">
            <v>472181</v>
          </cell>
          <cell r="AF171">
            <v>476</v>
          </cell>
          <cell r="AG171">
            <v>491.5</v>
          </cell>
          <cell r="AH171">
            <v>496.5</v>
          </cell>
          <cell r="AI171">
            <v>480</v>
          </cell>
          <cell r="AJ171">
            <v>0</v>
          </cell>
          <cell r="AM171">
            <v>0</v>
          </cell>
          <cell r="AN171">
            <v>0</v>
          </cell>
          <cell r="AO171">
            <v>477.5</v>
          </cell>
          <cell r="AQ171">
            <v>0</v>
          </cell>
          <cell r="AT171">
            <v>0</v>
          </cell>
          <cell r="AU171">
            <v>0</v>
          </cell>
          <cell r="AV171">
            <v>4562763</v>
          </cell>
          <cell r="AW171">
            <v>0</v>
          </cell>
          <cell r="AX171">
            <v>0</v>
          </cell>
          <cell r="AY171">
            <v>0</v>
          </cell>
          <cell r="AZ171">
            <v>1</v>
          </cell>
          <cell r="BA171">
            <v>1</v>
          </cell>
          <cell r="BB171">
            <v>0</v>
          </cell>
          <cell r="BC171">
            <v>0</v>
          </cell>
          <cell r="BE171">
            <v>4719093</v>
          </cell>
          <cell r="BF171">
            <v>2539</v>
          </cell>
          <cell r="BG171">
            <v>2245</v>
          </cell>
          <cell r="BH171">
            <v>33</v>
          </cell>
          <cell r="BI171">
            <v>91840636</v>
          </cell>
          <cell r="BJ171">
            <v>89296413</v>
          </cell>
          <cell r="BL171">
            <v>128</v>
          </cell>
          <cell r="BM171">
            <v>181</v>
          </cell>
          <cell r="BN171">
            <v>208</v>
          </cell>
          <cell r="BO171">
            <v>43</v>
          </cell>
          <cell r="BP171">
            <v>34</v>
          </cell>
          <cell r="BQ171">
            <v>16</v>
          </cell>
        </row>
        <row r="172">
          <cell r="A172">
            <v>378</v>
          </cell>
          <cell r="B172" t="str">
            <v>378 - Riley County</v>
          </cell>
          <cell r="C172" t="str">
            <v>Riley</v>
          </cell>
          <cell r="D172">
            <v>72547478</v>
          </cell>
          <cell r="E172">
            <v>63572092</v>
          </cell>
          <cell r="F172">
            <v>77326759</v>
          </cell>
          <cell r="G172">
            <v>61392729</v>
          </cell>
          <cell r="H172">
            <v>671.3</v>
          </cell>
          <cell r="I172">
            <v>684.5</v>
          </cell>
          <cell r="J172">
            <v>160</v>
          </cell>
          <cell r="K172">
            <v>6574605</v>
          </cell>
          <cell r="L172">
            <v>672.5</v>
          </cell>
          <cell r="M172">
            <v>675.8</v>
          </cell>
          <cell r="N172">
            <v>687.5</v>
          </cell>
          <cell r="O172">
            <v>711.6</v>
          </cell>
          <cell r="P172">
            <v>615378</v>
          </cell>
          <cell r="Q172">
            <v>610076</v>
          </cell>
          <cell r="R172">
            <v>801494</v>
          </cell>
          <cell r="S172">
            <v>682551</v>
          </cell>
          <cell r="T172">
            <v>0</v>
          </cell>
          <cell r="U172">
            <v>0</v>
          </cell>
          <cell r="V172">
            <v>0</v>
          </cell>
          <cell r="W172">
            <v>0.23</v>
          </cell>
          <cell r="X172">
            <v>127</v>
          </cell>
          <cell r="Y172">
            <v>38</v>
          </cell>
          <cell r="Z172">
            <v>0.22</v>
          </cell>
          <cell r="AA172">
            <v>0</v>
          </cell>
          <cell r="AB172">
            <v>0.3543</v>
          </cell>
          <cell r="AC172">
            <v>602049</v>
          </cell>
          <cell r="AD172">
            <v>555873</v>
          </cell>
          <cell r="AE172">
            <v>555873</v>
          </cell>
          <cell r="AF172">
            <v>672.5</v>
          </cell>
          <cell r="AG172">
            <v>675.8</v>
          </cell>
          <cell r="AH172">
            <v>687.5</v>
          </cell>
          <cell r="AI172">
            <v>711.6</v>
          </cell>
          <cell r="AJ172">
            <v>0</v>
          </cell>
          <cell r="AM172">
            <v>36</v>
          </cell>
          <cell r="AN172">
            <v>1</v>
          </cell>
          <cell r="AO172">
            <v>710.6</v>
          </cell>
          <cell r="AQ172">
            <v>0</v>
          </cell>
          <cell r="AT172">
            <v>0</v>
          </cell>
          <cell r="AU172">
            <v>0</v>
          </cell>
          <cell r="AV172">
            <v>5455624</v>
          </cell>
          <cell r="AW172">
            <v>168310</v>
          </cell>
          <cell r="AX172">
            <v>166984</v>
          </cell>
          <cell r="AY172">
            <v>734333</v>
          </cell>
          <cell r="AZ172">
            <v>1</v>
          </cell>
          <cell r="BA172">
            <v>1</v>
          </cell>
          <cell r="BB172">
            <v>0</v>
          </cell>
          <cell r="BC172">
            <v>0</v>
          </cell>
          <cell r="BE172">
            <v>5955110</v>
          </cell>
          <cell r="BF172">
            <v>7483</v>
          </cell>
          <cell r="BG172">
            <v>0</v>
          </cell>
          <cell r="BH172">
            <v>33</v>
          </cell>
          <cell r="BI172">
            <v>72547478</v>
          </cell>
          <cell r="BJ172">
            <v>77326759</v>
          </cell>
          <cell r="BL172">
            <v>96</v>
          </cell>
          <cell r="BM172">
            <v>122</v>
          </cell>
          <cell r="BN172">
            <v>139</v>
          </cell>
          <cell r="BO172">
            <v>59</v>
          </cell>
          <cell r="BP172">
            <v>46</v>
          </cell>
          <cell r="BQ172">
            <v>51</v>
          </cell>
        </row>
        <row r="173">
          <cell r="A173">
            <v>379</v>
          </cell>
          <cell r="B173" t="str">
            <v>379 - Clay County</v>
          </cell>
          <cell r="C173" t="str">
            <v>Clay</v>
          </cell>
          <cell r="D173">
            <v>140710586</v>
          </cell>
          <cell r="E173">
            <v>124932886</v>
          </cell>
          <cell r="F173">
            <v>142211831</v>
          </cell>
          <cell r="G173">
            <v>116798944</v>
          </cell>
          <cell r="H173">
            <v>1284.5</v>
          </cell>
          <cell r="I173">
            <v>1284.5</v>
          </cell>
          <cell r="J173">
            <v>632.5</v>
          </cell>
          <cell r="K173">
            <v>10972733</v>
          </cell>
          <cell r="L173">
            <v>1309.2</v>
          </cell>
          <cell r="M173">
            <v>1300</v>
          </cell>
          <cell r="N173">
            <v>1299</v>
          </cell>
          <cell r="O173">
            <v>1235</v>
          </cell>
          <cell r="P173">
            <v>1095598</v>
          </cell>
          <cell r="Q173">
            <v>1098795</v>
          </cell>
          <cell r="R173">
            <v>1158949</v>
          </cell>
          <cell r="S173">
            <v>1199396</v>
          </cell>
          <cell r="T173">
            <v>0</v>
          </cell>
          <cell r="U173">
            <v>0</v>
          </cell>
          <cell r="V173">
            <v>0</v>
          </cell>
          <cell r="W173">
            <v>0.18</v>
          </cell>
          <cell r="X173">
            <v>450</v>
          </cell>
          <cell r="Y173">
            <v>138</v>
          </cell>
          <cell r="Z173">
            <v>0.17</v>
          </cell>
          <cell r="AA173">
            <v>0</v>
          </cell>
          <cell r="AB173">
            <v>0.3135</v>
          </cell>
          <cell r="AC173">
            <v>1633379</v>
          </cell>
          <cell r="AD173">
            <v>1580050</v>
          </cell>
          <cell r="AE173">
            <v>1580050</v>
          </cell>
          <cell r="AF173">
            <v>1301.2</v>
          </cell>
          <cell r="AG173">
            <v>1295</v>
          </cell>
          <cell r="AH173">
            <v>1299</v>
          </cell>
          <cell r="AI173">
            <v>1235</v>
          </cell>
          <cell r="AJ173">
            <v>0</v>
          </cell>
          <cell r="AM173">
            <v>52</v>
          </cell>
          <cell r="AN173">
            <v>1</v>
          </cell>
          <cell r="AO173">
            <v>1222.5</v>
          </cell>
          <cell r="AQ173">
            <v>0</v>
          </cell>
          <cell r="AT173">
            <v>0</v>
          </cell>
          <cell r="AU173">
            <v>0</v>
          </cell>
          <cell r="AV173">
            <v>9514404</v>
          </cell>
          <cell r="AW173">
            <v>166119</v>
          </cell>
          <cell r="AX173">
            <v>220846</v>
          </cell>
          <cell r="AY173">
            <v>1142399</v>
          </cell>
          <cell r="AZ173">
            <v>1</v>
          </cell>
          <cell r="BA173">
            <v>1</v>
          </cell>
          <cell r="BB173">
            <v>70590</v>
          </cell>
          <cell r="BC173">
            <v>35295</v>
          </cell>
          <cell r="BE173">
            <v>9873938</v>
          </cell>
          <cell r="BF173">
            <v>9449</v>
          </cell>
          <cell r="BG173">
            <v>4872</v>
          </cell>
          <cell r="BH173">
            <v>33</v>
          </cell>
          <cell r="BI173">
            <v>139615985</v>
          </cell>
          <cell r="BJ173">
            <v>141074101</v>
          </cell>
          <cell r="BL173">
            <v>351</v>
          </cell>
          <cell r="BM173">
            <v>472</v>
          </cell>
          <cell r="BN173">
            <v>492</v>
          </cell>
          <cell r="BO173">
            <v>191</v>
          </cell>
          <cell r="BP173">
            <v>97</v>
          </cell>
          <cell r="BQ173">
            <v>128</v>
          </cell>
        </row>
        <row r="174">
          <cell r="A174">
            <v>380</v>
          </cell>
          <cell r="B174" t="str">
            <v>380 - Vermillion</v>
          </cell>
          <cell r="C174" t="str">
            <v>Marshall</v>
          </cell>
          <cell r="D174">
            <v>67401557</v>
          </cell>
          <cell r="E174">
            <v>61942888</v>
          </cell>
          <cell r="F174">
            <v>69265519</v>
          </cell>
          <cell r="G174">
            <v>60262139</v>
          </cell>
          <cell r="H174">
            <v>581.9</v>
          </cell>
          <cell r="I174">
            <v>584.1</v>
          </cell>
          <cell r="J174">
            <v>429.6</v>
          </cell>
          <cell r="K174">
            <v>5776510</v>
          </cell>
          <cell r="L174">
            <v>591.9</v>
          </cell>
          <cell r="M174">
            <v>605.4</v>
          </cell>
          <cell r="N174">
            <v>603.6</v>
          </cell>
          <cell r="O174">
            <v>603.70000000000005</v>
          </cell>
          <cell r="P174">
            <v>426798</v>
          </cell>
          <cell r="Q174">
            <v>452288</v>
          </cell>
          <cell r="R174">
            <v>569440</v>
          </cell>
          <cell r="S174">
            <v>381367</v>
          </cell>
          <cell r="T174">
            <v>10406</v>
          </cell>
          <cell r="U174">
            <v>10491</v>
          </cell>
          <cell r="V174">
            <v>0</v>
          </cell>
          <cell r="W174">
            <v>0.18</v>
          </cell>
          <cell r="X174">
            <v>129</v>
          </cell>
          <cell r="Y174">
            <v>43</v>
          </cell>
          <cell r="Z174">
            <v>0.17</v>
          </cell>
          <cell r="AA174">
            <v>0</v>
          </cell>
          <cell r="AB174">
            <v>0.30580000000000002</v>
          </cell>
          <cell r="AC174">
            <v>550902</v>
          </cell>
          <cell r="AD174">
            <v>527351</v>
          </cell>
          <cell r="AE174">
            <v>527351</v>
          </cell>
          <cell r="AF174">
            <v>591.9</v>
          </cell>
          <cell r="AG174">
            <v>605.4</v>
          </cell>
          <cell r="AH174">
            <v>603.6</v>
          </cell>
          <cell r="AI174">
            <v>603.70000000000005</v>
          </cell>
          <cell r="AJ174">
            <v>0</v>
          </cell>
          <cell r="AM174">
            <v>4</v>
          </cell>
          <cell r="AN174">
            <v>0</v>
          </cell>
          <cell r="AO174">
            <v>586.70000000000005</v>
          </cell>
          <cell r="AQ174">
            <v>0</v>
          </cell>
          <cell r="AT174">
            <v>0</v>
          </cell>
          <cell r="AU174">
            <v>0</v>
          </cell>
          <cell r="AV174">
            <v>5044352</v>
          </cell>
          <cell r="AW174">
            <v>72745</v>
          </cell>
          <cell r="AX174">
            <v>82665</v>
          </cell>
          <cell r="AY174">
            <v>499894</v>
          </cell>
          <cell r="AZ174">
            <v>1</v>
          </cell>
          <cell r="BA174">
            <v>1</v>
          </cell>
          <cell r="BB174">
            <v>31830</v>
          </cell>
          <cell r="BC174">
            <v>32100</v>
          </cell>
          <cell r="BE174">
            <v>5323684</v>
          </cell>
          <cell r="BF174">
            <v>4441</v>
          </cell>
          <cell r="BG174">
            <v>5888</v>
          </cell>
          <cell r="BH174">
            <v>33</v>
          </cell>
          <cell r="BI174">
            <v>67401557</v>
          </cell>
          <cell r="BJ174">
            <v>68887173</v>
          </cell>
          <cell r="BL174">
            <v>89</v>
          </cell>
          <cell r="BM174">
            <v>167</v>
          </cell>
          <cell r="BN174">
            <v>138</v>
          </cell>
          <cell r="BO174">
            <v>36</v>
          </cell>
          <cell r="BP174">
            <v>48</v>
          </cell>
          <cell r="BQ174">
            <v>47</v>
          </cell>
        </row>
        <row r="175">
          <cell r="A175">
            <v>381</v>
          </cell>
          <cell r="B175" t="str">
            <v>381 - Spearville</v>
          </cell>
          <cell r="C175" t="str">
            <v>Ford</v>
          </cell>
          <cell r="D175">
            <v>33845634</v>
          </cell>
          <cell r="E175">
            <v>31538267</v>
          </cell>
          <cell r="F175">
            <v>30924233</v>
          </cell>
          <cell r="G175">
            <v>26995135</v>
          </cell>
          <cell r="H175">
            <v>316.5</v>
          </cell>
          <cell r="I175">
            <v>340</v>
          </cell>
          <cell r="J175">
            <v>182</v>
          </cell>
          <cell r="K175">
            <v>3446222</v>
          </cell>
          <cell r="L175">
            <v>330.5</v>
          </cell>
          <cell r="M175">
            <v>320</v>
          </cell>
          <cell r="N175">
            <v>342</v>
          </cell>
          <cell r="O175">
            <v>357</v>
          </cell>
          <cell r="P175">
            <v>255640</v>
          </cell>
          <cell r="Q175">
            <v>248928</v>
          </cell>
          <cell r="R175">
            <v>417315</v>
          </cell>
          <cell r="S175">
            <v>294126</v>
          </cell>
          <cell r="T175">
            <v>0</v>
          </cell>
          <cell r="U175">
            <v>0</v>
          </cell>
          <cell r="V175">
            <v>0</v>
          </cell>
          <cell r="W175">
            <v>0.45</v>
          </cell>
          <cell r="X175">
            <v>98</v>
          </cell>
          <cell r="Y175">
            <v>14</v>
          </cell>
          <cell r="Z175">
            <v>0.44</v>
          </cell>
          <cell r="AA175">
            <v>0</v>
          </cell>
          <cell r="AB175">
            <v>0.40479999999999999</v>
          </cell>
          <cell r="AC175">
            <v>319799</v>
          </cell>
          <cell r="AD175">
            <v>288588</v>
          </cell>
          <cell r="AE175">
            <v>288588</v>
          </cell>
          <cell r="AF175">
            <v>330.5</v>
          </cell>
          <cell r="AG175">
            <v>320</v>
          </cell>
          <cell r="AH175">
            <v>342</v>
          </cell>
          <cell r="AI175">
            <v>357</v>
          </cell>
          <cell r="AJ175">
            <v>0</v>
          </cell>
          <cell r="AM175">
            <v>3</v>
          </cell>
          <cell r="AN175">
            <v>0</v>
          </cell>
          <cell r="AO175">
            <v>355</v>
          </cell>
          <cell r="AQ175">
            <v>0</v>
          </cell>
          <cell r="AT175">
            <v>0</v>
          </cell>
          <cell r="AU175">
            <v>0</v>
          </cell>
          <cell r="AV175">
            <v>2823432</v>
          </cell>
          <cell r="AW175">
            <v>32232</v>
          </cell>
          <cell r="AX175">
            <v>44728</v>
          </cell>
          <cell r="AY175">
            <v>317893</v>
          </cell>
          <cell r="AZ175">
            <v>1</v>
          </cell>
          <cell r="BA175">
            <v>1</v>
          </cell>
          <cell r="BB175">
            <v>0</v>
          </cell>
          <cell r="BC175">
            <v>0</v>
          </cell>
          <cell r="BE175">
            <v>3196971</v>
          </cell>
          <cell r="BF175">
            <v>641</v>
          </cell>
          <cell r="BG175">
            <v>882</v>
          </cell>
          <cell r="BH175">
            <v>33</v>
          </cell>
          <cell r="BI175">
            <v>33845634</v>
          </cell>
          <cell r="BJ175">
            <v>30924233</v>
          </cell>
          <cell r="BL175">
            <v>45</v>
          </cell>
          <cell r="BM175">
            <v>84</v>
          </cell>
          <cell r="BN175">
            <v>95</v>
          </cell>
          <cell r="BO175">
            <v>30</v>
          </cell>
          <cell r="BP175">
            <v>16</v>
          </cell>
          <cell r="BQ175">
            <v>8</v>
          </cell>
        </row>
        <row r="176">
          <cell r="A176">
            <v>382</v>
          </cell>
          <cell r="B176" t="str">
            <v>382 - Pratt</v>
          </cell>
          <cell r="C176" t="str">
            <v>Pratt</v>
          </cell>
          <cell r="D176">
            <v>119368276</v>
          </cell>
          <cell r="E176">
            <v>104571464</v>
          </cell>
          <cell r="F176">
            <v>115720254</v>
          </cell>
          <cell r="G176">
            <v>92023592</v>
          </cell>
          <cell r="H176">
            <v>1075.5999999999999</v>
          </cell>
          <cell r="I176">
            <v>1146.0999999999999</v>
          </cell>
          <cell r="J176">
            <v>266.5</v>
          </cell>
          <cell r="K176">
            <v>10990370</v>
          </cell>
          <cell r="L176">
            <v>1137.8</v>
          </cell>
          <cell r="M176">
            <v>1130.2</v>
          </cell>
          <cell r="N176">
            <v>1190.7</v>
          </cell>
          <cell r="O176">
            <v>1187.2</v>
          </cell>
          <cell r="P176">
            <v>1398499</v>
          </cell>
          <cell r="Q176">
            <v>1506659</v>
          </cell>
          <cell r="R176">
            <v>1363115</v>
          </cell>
          <cell r="S176">
            <v>1113369</v>
          </cell>
          <cell r="T176">
            <v>0</v>
          </cell>
          <cell r="U176">
            <v>0</v>
          </cell>
          <cell r="V176">
            <v>0</v>
          </cell>
          <cell r="W176">
            <v>0.37</v>
          </cell>
          <cell r="X176">
            <v>507</v>
          </cell>
          <cell r="Y176">
            <v>101</v>
          </cell>
          <cell r="Z176">
            <v>0.36</v>
          </cell>
          <cell r="AA176">
            <v>0</v>
          </cell>
          <cell r="AB176">
            <v>0.40679999999999999</v>
          </cell>
          <cell r="AC176">
            <v>996709</v>
          </cell>
          <cell r="AD176">
            <v>947863</v>
          </cell>
          <cell r="AE176">
            <v>947863</v>
          </cell>
          <cell r="AF176">
            <v>1123.5</v>
          </cell>
          <cell r="AG176">
            <v>1087.0999999999999</v>
          </cell>
          <cell r="AH176">
            <v>1161.5999999999999</v>
          </cell>
          <cell r="AI176">
            <v>1171.5</v>
          </cell>
          <cell r="AJ176">
            <v>0</v>
          </cell>
          <cell r="AM176">
            <v>0</v>
          </cell>
          <cell r="AN176">
            <v>0</v>
          </cell>
          <cell r="AO176">
            <v>1143.5</v>
          </cell>
          <cell r="AQ176">
            <v>0</v>
          </cell>
          <cell r="AT176">
            <v>0</v>
          </cell>
          <cell r="AU176">
            <v>0</v>
          </cell>
          <cell r="AV176">
            <v>8700569</v>
          </cell>
          <cell r="AW176">
            <v>287509</v>
          </cell>
          <cell r="AX176">
            <v>292819</v>
          </cell>
          <cell r="AY176">
            <v>1312636</v>
          </cell>
          <cell r="AZ176">
            <v>1</v>
          </cell>
          <cell r="BA176">
            <v>1</v>
          </cell>
          <cell r="BB176">
            <v>21350</v>
          </cell>
          <cell r="BC176">
            <v>21350</v>
          </cell>
          <cell r="BE176">
            <v>9474989</v>
          </cell>
          <cell r="BF176">
            <v>4688</v>
          </cell>
          <cell r="BG176">
            <v>2819</v>
          </cell>
          <cell r="BH176">
            <v>33</v>
          </cell>
          <cell r="BI176">
            <v>115946074</v>
          </cell>
          <cell r="BJ176">
            <v>112345939</v>
          </cell>
          <cell r="BL176">
            <v>384</v>
          </cell>
          <cell r="BM176">
            <v>457</v>
          </cell>
          <cell r="BN176">
            <v>516</v>
          </cell>
          <cell r="BO176">
            <v>138</v>
          </cell>
          <cell r="BP176">
            <v>92</v>
          </cell>
          <cell r="BQ176">
            <v>96</v>
          </cell>
        </row>
        <row r="177">
          <cell r="A177">
            <v>383</v>
          </cell>
          <cell r="B177" t="str">
            <v>383 - Manhattan-Ogden</v>
          </cell>
          <cell r="C177" t="str">
            <v>Riley</v>
          </cell>
          <cell r="D177">
            <v>868506880</v>
          </cell>
          <cell r="E177">
            <v>786513694</v>
          </cell>
          <cell r="F177">
            <v>902587557</v>
          </cell>
          <cell r="G177">
            <v>757353838</v>
          </cell>
          <cell r="H177">
            <v>6523.8</v>
          </cell>
          <cell r="I177">
            <v>6617.1</v>
          </cell>
          <cell r="J177">
            <v>163</v>
          </cell>
          <cell r="K177">
            <v>58834973</v>
          </cell>
          <cell r="L177">
            <v>6671.4</v>
          </cell>
          <cell r="M177">
            <v>6831.5</v>
          </cell>
          <cell r="N177">
            <v>6921.4</v>
          </cell>
          <cell r="O177">
            <v>6947.3</v>
          </cell>
          <cell r="P177">
            <v>9029854</v>
          </cell>
          <cell r="Q177">
            <v>9611897</v>
          </cell>
          <cell r="R177">
            <v>5043740</v>
          </cell>
          <cell r="S177">
            <v>5959414</v>
          </cell>
          <cell r="T177">
            <v>0</v>
          </cell>
          <cell r="U177">
            <v>0</v>
          </cell>
          <cell r="V177">
            <v>0</v>
          </cell>
          <cell r="W177">
            <v>0.05</v>
          </cell>
          <cell r="X177">
            <v>2643</v>
          </cell>
          <cell r="Y177">
            <v>488</v>
          </cell>
          <cell r="Z177">
            <v>0.04</v>
          </cell>
          <cell r="AA177">
            <v>0</v>
          </cell>
          <cell r="AB177">
            <v>0.2465</v>
          </cell>
          <cell r="AC177">
            <v>7999023</v>
          </cell>
          <cell r="AD177">
            <v>7918907</v>
          </cell>
          <cell r="AE177">
            <v>7918907</v>
          </cell>
          <cell r="AF177">
            <v>6439.3</v>
          </cell>
          <cell r="AG177">
            <v>6639.2</v>
          </cell>
          <cell r="AH177">
            <v>6747.6</v>
          </cell>
          <cell r="AI177">
            <v>6791.4</v>
          </cell>
          <cell r="AJ177">
            <v>7.1000000000000004E-3</v>
          </cell>
          <cell r="AM177">
            <v>617</v>
          </cell>
          <cell r="AN177">
            <v>1</v>
          </cell>
          <cell r="AO177">
            <v>6665.9</v>
          </cell>
          <cell r="AQ177">
            <v>41.4</v>
          </cell>
          <cell r="AT177">
            <v>34</v>
          </cell>
          <cell r="AU177">
            <v>32.5</v>
          </cell>
          <cell r="AV177">
            <v>45751446</v>
          </cell>
          <cell r="AW177">
            <v>812102</v>
          </cell>
          <cell r="AX177">
            <v>704144</v>
          </cell>
          <cell r="AY177">
            <v>4432282</v>
          </cell>
          <cell r="AZ177">
            <v>1</v>
          </cell>
          <cell r="BA177">
            <v>1</v>
          </cell>
          <cell r="BB177">
            <v>230000</v>
          </cell>
          <cell r="BC177">
            <v>231200</v>
          </cell>
          <cell r="BE177">
            <v>49214826</v>
          </cell>
          <cell r="BF177">
            <v>12006</v>
          </cell>
          <cell r="BG177">
            <v>5680</v>
          </cell>
          <cell r="BH177">
            <v>33</v>
          </cell>
          <cell r="BI177">
            <v>846997912</v>
          </cell>
          <cell r="BJ177">
            <v>880179352</v>
          </cell>
          <cell r="BL177">
            <v>1933</v>
          </cell>
          <cell r="BM177">
            <v>2173</v>
          </cell>
          <cell r="BN177">
            <v>2590</v>
          </cell>
          <cell r="BO177">
            <v>566</v>
          </cell>
          <cell r="BP177">
            <v>452</v>
          </cell>
          <cell r="BQ177">
            <v>410</v>
          </cell>
        </row>
        <row r="178">
          <cell r="A178">
            <v>384</v>
          </cell>
          <cell r="B178" t="str">
            <v>384 - Blue Valley</v>
          </cell>
          <cell r="C178" t="str">
            <v>Riley</v>
          </cell>
          <cell r="D178">
            <v>33007817</v>
          </cell>
          <cell r="E178">
            <v>28878859</v>
          </cell>
          <cell r="F178">
            <v>33876550</v>
          </cell>
          <cell r="G178">
            <v>26819079</v>
          </cell>
          <cell r="H178">
            <v>244.5</v>
          </cell>
          <cell r="I178">
            <v>251</v>
          </cell>
          <cell r="J178">
            <v>319</v>
          </cell>
          <cell r="K178">
            <v>2880995</v>
          </cell>
          <cell r="L178">
            <v>234</v>
          </cell>
          <cell r="M178">
            <v>249.5</v>
          </cell>
          <cell r="N178">
            <v>255.5</v>
          </cell>
          <cell r="O178">
            <v>250.5</v>
          </cell>
          <cell r="P178">
            <v>285342</v>
          </cell>
          <cell r="Q178">
            <v>289060</v>
          </cell>
          <cell r="R178">
            <v>192132</v>
          </cell>
          <cell r="S178">
            <v>285953</v>
          </cell>
          <cell r="T178">
            <v>0</v>
          </cell>
          <cell r="U178">
            <v>0</v>
          </cell>
          <cell r="V178">
            <v>0</v>
          </cell>
          <cell r="W178">
            <v>0</v>
          </cell>
          <cell r="X178">
            <v>35</v>
          </cell>
          <cell r="Y178">
            <v>24</v>
          </cell>
          <cell r="Z178">
            <v>0</v>
          </cell>
          <cell r="AA178">
            <v>0</v>
          </cell>
          <cell r="AB178">
            <v>0.19620000000000001</v>
          </cell>
          <cell r="AC178">
            <v>226041</v>
          </cell>
          <cell r="AD178">
            <v>231521</v>
          </cell>
          <cell r="AE178">
            <v>231521</v>
          </cell>
          <cell r="AF178">
            <v>234</v>
          </cell>
          <cell r="AG178">
            <v>249.5</v>
          </cell>
          <cell r="AH178">
            <v>255.5</v>
          </cell>
          <cell r="AI178">
            <v>250.5</v>
          </cell>
          <cell r="AJ178">
            <v>0</v>
          </cell>
          <cell r="AM178">
            <v>6</v>
          </cell>
          <cell r="AN178">
            <v>1</v>
          </cell>
          <cell r="AO178">
            <v>242</v>
          </cell>
          <cell r="AQ178">
            <v>0</v>
          </cell>
          <cell r="AT178">
            <v>0</v>
          </cell>
          <cell r="AU178">
            <v>0</v>
          </cell>
          <cell r="AV178">
            <v>2429615</v>
          </cell>
          <cell r="AW178">
            <v>10548</v>
          </cell>
          <cell r="AX178">
            <v>8121</v>
          </cell>
          <cell r="AY178">
            <v>135431</v>
          </cell>
          <cell r="AZ178">
            <v>1</v>
          </cell>
          <cell r="BA178">
            <v>1</v>
          </cell>
          <cell r="BB178">
            <v>0</v>
          </cell>
          <cell r="BC178">
            <v>0</v>
          </cell>
          <cell r="BE178">
            <v>2591935</v>
          </cell>
          <cell r="BF178">
            <v>2448</v>
          </cell>
          <cell r="BG178">
            <v>0</v>
          </cell>
          <cell r="BH178">
            <v>33</v>
          </cell>
          <cell r="BI178">
            <v>33007817</v>
          </cell>
          <cell r="BJ178">
            <v>33876550</v>
          </cell>
          <cell r="BL178">
            <v>27</v>
          </cell>
          <cell r="BM178">
            <v>35</v>
          </cell>
          <cell r="BN178">
            <v>41</v>
          </cell>
          <cell r="BO178">
            <v>28</v>
          </cell>
          <cell r="BP178">
            <v>21</v>
          </cell>
          <cell r="BQ178">
            <v>20</v>
          </cell>
        </row>
        <row r="179">
          <cell r="A179">
            <v>385</v>
          </cell>
          <cell r="B179" t="str">
            <v>385 - Andover</v>
          </cell>
          <cell r="C179" t="str">
            <v>Butler</v>
          </cell>
          <cell r="D179">
            <v>494407604</v>
          </cell>
          <cell r="E179">
            <v>449373889</v>
          </cell>
          <cell r="F179">
            <v>536408906</v>
          </cell>
          <cell r="G179">
            <v>455151891</v>
          </cell>
          <cell r="H179">
            <v>5564.6</v>
          </cell>
          <cell r="I179">
            <v>5573.9</v>
          </cell>
          <cell r="J179">
            <v>46.8</v>
          </cell>
          <cell r="K179">
            <v>46815043</v>
          </cell>
          <cell r="L179">
            <v>6463.2</v>
          </cell>
          <cell r="M179">
            <v>6438.5</v>
          </cell>
          <cell r="N179">
            <v>6658.9</v>
          </cell>
          <cell r="O179">
            <v>6528.4</v>
          </cell>
          <cell r="P179">
            <v>5207432</v>
          </cell>
          <cell r="Q179">
            <v>5843857</v>
          </cell>
          <cell r="R179">
            <v>7993478</v>
          </cell>
          <cell r="S179">
            <v>3115951</v>
          </cell>
          <cell r="T179">
            <v>0</v>
          </cell>
          <cell r="U179">
            <v>0</v>
          </cell>
          <cell r="V179">
            <v>0</v>
          </cell>
          <cell r="W179">
            <v>0.51</v>
          </cell>
          <cell r="X179">
            <v>1053</v>
          </cell>
          <cell r="Y179">
            <v>204</v>
          </cell>
          <cell r="Z179">
            <v>0.5</v>
          </cell>
          <cell r="AA179">
            <v>0</v>
          </cell>
          <cell r="AB179">
            <v>0.5403</v>
          </cell>
          <cell r="AC179">
            <v>4712684</v>
          </cell>
          <cell r="AD179">
            <v>4523359</v>
          </cell>
          <cell r="AE179">
            <v>4523359</v>
          </cell>
          <cell r="AF179">
            <v>5604</v>
          </cell>
          <cell r="AG179">
            <v>5596.6</v>
          </cell>
          <cell r="AH179">
            <v>5611.9</v>
          </cell>
          <cell r="AI179">
            <v>5692.1</v>
          </cell>
          <cell r="AJ179">
            <v>5.6500000000000002E-2</v>
          </cell>
          <cell r="AM179">
            <v>213</v>
          </cell>
          <cell r="AN179">
            <v>0</v>
          </cell>
          <cell r="AO179">
            <v>5649.6</v>
          </cell>
          <cell r="AQ179">
            <v>0</v>
          </cell>
          <cell r="AT179">
            <v>0</v>
          </cell>
          <cell r="AU179">
            <v>0</v>
          </cell>
          <cell r="AV179">
            <v>37853629</v>
          </cell>
          <cell r="AW179">
            <v>2253541</v>
          </cell>
          <cell r="AX179">
            <v>2475608</v>
          </cell>
          <cell r="AY179">
            <v>7550356</v>
          </cell>
          <cell r="AZ179">
            <v>1</v>
          </cell>
          <cell r="BA179">
            <v>1</v>
          </cell>
          <cell r="BB179">
            <v>0</v>
          </cell>
          <cell r="BC179">
            <v>0</v>
          </cell>
          <cell r="BE179">
            <v>40970991</v>
          </cell>
          <cell r="BF179">
            <v>5861</v>
          </cell>
          <cell r="BG179">
            <v>12508</v>
          </cell>
          <cell r="BH179">
            <v>33</v>
          </cell>
          <cell r="BI179">
            <v>489964140</v>
          </cell>
          <cell r="BJ179">
            <v>528323478</v>
          </cell>
          <cell r="BL179">
            <v>475</v>
          </cell>
          <cell r="BM179">
            <v>934</v>
          </cell>
          <cell r="BN179">
            <v>1026</v>
          </cell>
          <cell r="BO179">
            <v>173</v>
          </cell>
          <cell r="BP179">
            <v>172</v>
          </cell>
          <cell r="BQ179">
            <v>215</v>
          </cell>
        </row>
        <row r="180">
          <cell r="A180">
            <v>386</v>
          </cell>
          <cell r="B180" t="str">
            <v>386 - Madison-Virgil</v>
          </cell>
          <cell r="C180" t="str">
            <v>Greenwood</v>
          </cell>
          <cell r="D180">
            <v>21912078</v>
          </cell>
          <cell r="E180">
            <v>19327858</v>
          </cell>
          <cell r="F180">
            <v>22406710</v>
          </cell>
          <cell r="G180">
            <v>18678097</v>
          </cell>
          <cell r="H180">
            <v>220</v>
          </cell>
          <cell r="I180">
            <v>211.5</v>
          </cell>
          <cell r="J180">
            <v>253</v>
          </cell>
          <cell r="K180">
            <v>2829366</v>
          </cell>
          <cell r="L180">
            <v>233.5</v>
          </cell>
          <cell r="M180">
            <v>225.5</v>
          </cell>
          <cell r="N180">
            <v>217.5</v>
          </cell>
          <cell r="O180">
            <v>226.5</v>
          </cell>
          <cell r="P180">
            <v>436199</v>
          </cell>
          <cell r="Q180">
            <v>384832</v>
          </cell>
          <cell r="R180">
            <v>380153</v>
          </cell>
          <cell r="S180">
            <v>254392</v>
          </cell>
          <cell r="T180">
            <v>19301</v>
          </cell>
          <cell r="U180">
            <v>20545</v>
          </cell>
          <cell r="V180">
            <v>0</v>
          </cell>
          <cell r="W180">
            <v>0.33</v>
          </cell>
          <cell r="X180">
            <v>103</v>
          </cell>
          <cell r="Y180">
            <v>20</v>
          </cell>
          <cell r="Z180">
            <v>0.32</v>
          </cell>
          <cell r="AA180">
            <v>0</v>
          </cell>
          <cell r="AB180">
            <v>0.39150000000000001</v>
          </cell>
          <cell r="AC180">
            <v>259697</v>
          </cell>
          <cell r="AD180">
            <v>243458</v>
          </cell>
          <cell r="AE180">
            <v>243458</v>
          </cell>
          <cell r="AF180">
            <v>233.5</v>
          </cell>
          <cell r="AG180">
            <v>225.5</v>
          </cell>
          <cell r="AH180">
            <v>216.5</v>
          </cell>
          <cell r="AI180">
            <v>226.5</v>
          </cell>
          <cell r="AJ180">
            <v>0</v>
          </cell>
          <cell r="AM180">
            <v>0</v>
          </cell>
          <cell r="AN180">
            <v>0</v>
          </cell>
          <cell r="AO180">
            <v>222</v>
          </cell>
          <cell r="AQ180">
            <v>0</v>
          </cell>
          <cell r="AT180">
            <v>0</v>
          </cell>
          <cell r="AU180">
            <v>0</v>
          </cell>
          <cell r="AV180">
            <v>2278342</v>
          </cell>
          <cell r="AW180">
            <v>55956</v>
          </cell>
          <cell r="AX180">
            <v>57148</v>
          </cell>
          <cell r="AY180">
            <v>372985</v>
          </cell>
          <cell r="AZ180">
            <v>1</v>
          </cell>
          <cell r="BA180">
            <v>1</v>
          </cell>
          <cell r="BB180">
            <v>0</v>
          </cell>
          <cell r="BC180">
            <v>0</v>
          </cell>
          <cell r="BE180">
            <v>2438721</v>
          </cell>
          <cell r="BF180">
            <v>401</v>
          </cell>
          <cell r="BG180">
            <v>240</v>
          </cell>
          <cell r="BH180">
            <v>33</v>
          </cell>
          <cell r="BI180">
            <v>21912078</v>
          </cell>
          <cell r="BJ180">
            <v>22326359</v>
          </cell>
          <cell r="BL180">
            <v>92</v>
          </cell>
          <cell r="BM180">
            <v>113</v>
          </cell>
          <cell r="BN180">
            <v>87</v>
          </cell>
          <cell r="BO180">
            <v>32</v>
          </cell>
          <cell r="BP180">
            <v>14</v>
          </cell>
          <cell r="BQ180">
            <v>24</v>
          </cell>
        </row>
        <row r="181">
          <cell r="A181">
            <v>387</v>
          </cell>
          <cell r="B181" t="str">
            <v>387 - Altoona-Midway</v>
          </cell>
          <cell r="C181" t="str">
            <v>Wilson</v>
          </cell>
          <cell r="D181">
            <v>34401964</v>
          </cell>
          <cell r="E181">
            <v>31414346</v>
          </cell>
          <cell r="F181">
            <v>36450206</v>
          </cell>
          <cell r="G181">
            <v>31992887</v>
          </cell>
          <cell r="H181">
            <v>136</v>
          </cell>
          <cell r="I181">
            <v>138</v>
          </cell>
          <cell r="J181">
            <v>192</v>
          </cell>
          <cell r="K181">
            <v>2112478</v>
          </cell>
          <cell r="L181">
            <v>155</v>
          </cell>
          <cell r="M181">
            <v>140</v>
          </cell>
          <cell r="N181">
            <v>142.5</v>
          </cell>
          <cell r="O181">
            <v>145.5</v>
          </cell>
          <cell r="P181">
            <v>154997</v>
          </cell>
          <cell r="Q181">
            <v>190237</v>
          </cell>
          <cell r="R181">
            <v>0</v>
          </cell>
          <cell r="S181">
            <v>266166</v>
          </cell>
          <cell r="T181">
            <v>0</v>
          </cell>
          <cell r="U181">
            <v>0</v>
          </cell>
          <cell r="V181">
            <v>0</v>
          </cell>
          <cell r="W181">
            <v>0</v>
          </cell>
          <cell r="X181">
            <v>90</v>
          </cell>
          <cell r="Y181">
            <v>12</v>
          </cell>
          <cell r="Z181">
            <v>0</v>
          </cell>
          <cell r="AA181">
            <v>0</v>
          </cell>
          <cell r="AB181">
            <v>0</v>
          </cell>
          <cell r="AC181">
            <v>225346</v>
          </cell>
          <cell r="AD181">
            <v>222401</v>
          </cell>
          <cell r="AE181">
            <v>222401</v>
          </cell>
          <cell r="AF181">
            <v>155</v>
          </cell>
          <cell r="AG181">
            <v>139.5</v>
          </cell>
          <cell r="AH181">
            <v>142.5</v>
          </cell>
          <cell r="AI181">
            <v>145.5</v>
          </cell>
          <cell r="AJ181">
            <v>0</v>
          </cell>
          <cell r="AM181">
            <v>0</v>
          </cell>
          <cell r="AN181">
            <v>0</v>
          </cell>
          <cell r="AO181">
            <v>139.5</v>
          </cell>
          <cell r="AQ181">
            <v>0</v>
          </cell>
          <cell r="AT181">
            <v>0</v>
          </cell>
          <cell r="AU181">
            <v>0</v>
          </cell>
          <cell r="AV181">
            <v>1894610</v>
          </cell>
          <cell r="AW181">
            <v>0</v>
          </cell>
          <cell r="AX181">
            <v>0</v>
          </cell>
          <cell r="AY181">
            <v>0</v>
          </cell>
          <cell r="AZ181">
            <v>1</v>
          </cell>
          <cell r="BA181">
            <v>1</v>
          </cell>
          <cell r="BB181">
            <v>0</v>
          </cell>
          <cell r="BC181">
            <v>0</v>
          </cell>
          <cell r="BE181">
            <v>1921132</v>
          </cell>
          <cell r="BF181">
            <v>331</v>
          </cell>
          <cell r="BG181">
            <v>704</v>
          </cell>
          <cell r="BH181">
            <v>33</v>
          </cell>
          <cell r="BI181">
            <v>34401964</v>
          </cell>
          <cell r="BJ181">
            <v>36369855</v>
          </cell>
          <cell r="BL181">
            <v>72</v>
          </cell>
          <cell r="BM181">
            <v>96</v>
          </cell>
          <cell r="BN181">
            <v>95</v>
          </cell>
          <cell r="BO181">
            <v>36</v>
          </cell>
          <cell r="BP181">
            <v>7</v>
          </cell>
          <cell r="BQ181">
            <v>10</v>
          </cell>
        </row>
        <row r="182">
          <cell r="A182">
            <v>388</v>
          </cell>
          <cell r="B182" t="str">
            <v>388 - Ellis</v>
          </cell>
          <cell r="C182" t="str">
            <v>Ellis</v>
          </cell>
          <cell r="D182">
            <v>41481451</v>
          </cell>
          <cell r="E182">
            <v>36107707</v>
          </cell>
          <cell r="F182">
            <v>42631814</v>
          </cell>
          <cell r="G182">
            <v>33634821</v>
          </cell>
          <cell r="H182">
            <v>330.2</v>
          </cell>
          <cell r="I182">
            <v>331.2</v>
          </cell>
          <cell r="J182">
            <v>280.5</v>
          </cell>
          <cell r="K182">
            <v>3496776</v>
          </cell>
          <cell r="L182">
            <v>337.3</v>
          </cell>
          <cell r="M182">
            <v>334.7</v>
          </cell>
          <cell r="N182">
            <v>334.2</v>
          </cell>
          <cell r="O182">
            <v>329.1</v>
          </cell>
          <cell r="P182">
            <v>388249</v>
          </cell>
          <cell r="Q182">
            <v>443978</v>
          </cell>
          <cell r="R182">
            <v>340306</v>
          </cell>
          <cell r="S182">
            <v>382482</v>
          </cell>
          <cell r="T182">
            <v>0</v>
          </cell>
          <cell r="U182">
            <v>0</v>
          </cell>
          <cell r="V182">
            <v>0</v>
          </cell>
          <cell r="W182">
            <v>0.01</v>
          </cell>
          <cell r="X182">
            <v>99</v>
          </cell>
          <cell r="Y182">
            <v>30</v>
          </cell>
          <cell r="Z182">
            <v>0.02</v>
          </cell>
          <cell r="AA182">
            <v>0</v>
          </cell>
          <cell r="AB182">
            <v>0.25459999999999999</v>
          </cell>
          <cell r="AC182">
            <v>356306</v>
          </cell>
          <cell r="AD182">
            <v>325007</v>
          </cell>
          <cell r="AE182">
            <v>325007</v>
          </cell>
          <cell r="AF182">
            <v>337.3</v>
          </cell>
          <cell r="AG182">
            <v>334.7</v>
          </cell>
          <cell r="AH182">
            <v>334.2</v>
          </cell>
          <cell r="AI182">
            <v>329.1</v>
          </cell>
          <cell r="AJ182">
            <v>0</v>
          </cell>
          <cell r="AM182">
            <v>0</v>
          </cell>
          <cell r="AN182">
            <v>0</v>
          </cell>
          <cell r="AO182">
            <v>325.60000000000002</v>
          </cell>
          <cell r="AQ182">
            <v>0</v>
          </cell>
          <cell r="AT182">
            <v>0</v>
          </cell>
          <cell r="AU182">
            <v>0</v>
          </cell>
          <cell r="AV182">
            <v>2848451</v>
          </cell>
          <cell r="AW182">
            <v>51600</v>
          </cell>
          <cell r="AX182">
            <v>37863</v>
          </cell>
          <cell r="AY182">
            <v>360351</v>
          </cell>
          <cell r="AZ182">
            <v>1</v>
          </cell>
          <cell r="BA182">
            <v>1</v>
          </cell>
          <cell r="BB182">
            <v>0</v>
          </cell>
          <cell r="BC182">
            <v>0</v>
          </cell>
          <cell r="BE182">
            <v>3041944</v>
          </cell>
          <cell r="BF182">
            <v>4907</v>
          </cell>
          <cell r="BG182">
            <v>3421</v>
          </cell>
          <cell r="BH182">
            <v>33</v>
          </cell>
          <cell r="BI182">
            <v>40312744</v>
          </cell>
          <cell r="BJ182">
            <v>43025772</v>
          </cell>
          <cell r="BL182">
            <v>73</v>
          </cell>
          <cell r="BM182">
            <v>77</v>
          </cell>
          <cell r="BN182">
            <v>92</v>
          </cell>
          <cell r="BO182">
            <v>40</v>
          </cell>
          <cell r="BP182">
            <v>44</v>
          </cell>
          <cell r="BQ182">
            <v>40</v>
          </cell>
        </row>
        <row r="183">
          <cell r="A183">
            <v>389</v>
          </cell>
          <cell r="B183" t="str">
            <v>389 - Eureka</v>
          </cell>
          <cell r="C183" t="str">
            <v>Greenwood</v>
          </cell>
          <cell r="D183">
            <v>46702879</v>
          </cell>
          <cell r="E183">
            <v>37513924</v>
          </cell>
          <cell r="F183">
            <v>50094209</v>
          </cell>
          <cell r="G183">
            <v>36677685</v>
          </cell>
          <cell r="H183">
            <v>522.5</v>
          </cell>
          <cell r="I183">
            <v>525.5</v>
          </cell>
          <cell r="J183">
            <v>580</v>
          </cell>
          <cell r="K183">
            <v>5933305</v>
          </cell>
          <cell r="L183">
            <v>577.4</v>
          </cell>
          <cell r="M183">
            <v>534.29999999999995</v>
          </cell>
          <cell r="N183">
            <v>532.20000000000005</v>
          </cell>
          <cell r="O183">
            <v>511</v>
          </cell>
          <cell r="P183">
            <v>589855</v>
          </cell>
          <cell r="Q183">
            <v>705665</v>
          </cell>
          <cell r="R183">
            <v>966614</v>
          </cell>
          <cell r="S183">
            <v>562510</v>
          </cell>
          <cell r="T183">
            <v>9951</v>
          </cell>
          <cell r="U183">
            <v>11943</v>
          </cell>
          <cell r="V183">
            <v>0</v>
          </cell>
          <cell r="W183">
            <v>0.35</v>
          </cell>
          <cell r="X183">
            <v>320</v>
          </cell>
          <cell r="Y183">
            <v>42</v>
          </cell>
          <cell r="Z183">
            <v>0.34</v>
          </cell>
          <cell r="AA183">
            <v>0</v>
          </cell>
          <cell r="AB183">
            <v>0.4526</v>
          </cell>
          <cell r="AC183">
            <v>801583</v>
          </cell>
          <cell r="AD183">
            <v>765772</v>
          </cell>
          <cell r="AE183">
            <v>765772</v>
          </cell>
          <cell r="AF183">
            <v>576.5</v>
          </cell>
          <cell r="AG183">
            <v>531.5</v>
          </cell>
          <cell r="AH183">
            <v>531.5</v>
          </cell>
          <cell r="AI183">
            <v>511</v>
          </cell>
          <cell r="AJ183">
            <v>0</v>
          </cell>
          <cell r="AM183">
            <v>0</v>
          </cell>
          <cell r="AN183">
            <v>1</v>
          </cell>
          <cell r="AO183">
            <v>504.5</v>
          </cell>
          <cell r="AQ183">
            <v>0</v>
          </cell>
          <cell r="AT183">
            <v>0</v>
          </cell>
          <cell r="AU183">
            <v>0</v>
          </cell>
          <cell r="AV183">
            <v>5298968</v>
          </cell>
          <cell r="AW183">
            <v>169972</v>
          </cell>
          <cell r="AX183">
            <v>182969</v>
          </cell>
          <cell r="AY183">
            <v>981885</v>
          </cell>
          <cell r="AZ183">
            <v>1</v>
          </cell>
          <cell r="BA183">
            <v>1</v>
          </cell>
          <cell r="BB183">
            <v>0</v>
          </cell>
          <cell r="BC183">
            <v>0</v>
          </cell>
          <cell r="BE183">
            <v>5227278</v>
          </cell>
          <cell r="BF183">
            <v>1769</v>
          </cell>
          <cell r="BG183">
            <v>622</v>
          </cell>
          <cell r="BH183">
            <v>33</v>
          </cell>
          <cell r="BI183">
            <v>46188144</v>
          </cell>
          <cell r="BJ183">
            <v>49744702</v>
          </cell>
          <cell r="BL183">
            <v>270</v>
          </cell>
          <cell r="BM183">
            <v>297</v>
          </cell>
          <cell r="BN183">
            <v>332</v>
          </cell>
          <cell r="BO183">
            <v>56</v>
          </cell>
          <cell r="BP183">
            <v>43</v>
          </cell>
          <cell r="BQ183">
            <v>33</v>
          </cell>
        </row>
        <row r="184">
          <cell r="A184">
            <v>390</v>
          </cell>
          <cell r="B184" t="str">
            <v>390 - Hamilton</v>
          </cell>
          <cell r="C184" t="str">
            <v>Greenwood</v>
          </cell>
          <cell r="D184">
            <v>13422054</v>
          </cell>
          <cell r="E184">
            <v>12519963</v>
          </cell>
          <cell r="F184">
            <v>13486935</v>
          </cell>
          <cell r="G184">
            <v>12248264</v>
          </cell>
          <cell r="H184">
            <v>99</v>
          </cell>
          <cell r="I184">
            <v>87</v>
          </cell>
          <cell r="J184">
            <v>210</v>
          </cell>
          <cell r="K184">
            <v>1357945</v>
          </cell>
          <cell r="L184">
            <v>66</v>
          </cell>
          <cell r="M184">
            <v>100.5</v>
          </cell>
          <cell r="N184">
            <v>87.5</v>
          </cell>
          <cell r="O184">
            <v>85.3</v>
          </cell>
          <cell r="P184">
            <v>146616</v>
          </cell>
          <cell r="Q184">
            <v>121190</v>
          </cell>
          <cell r="R184">
            <v>8227</v>
          </cell>
          <cell r="S184">
            <v>135051</v>
          </cell>
          <cell r="T184">
            <v>1018</v>
          </cell>
          <cell r="U184">
            <v>1776</v>
          </cell>
          <cell r="V184">
            <v>0</v>
          </cell>
          <cell r="W184">
            <v>0</v>
          </cell>
          <cell r="X184">
            <v>49</v>
          </cell>
          <cell r="Y184">
            <v>12</v>
          </cell>
          <cell r="Z184">
            <v>0</v>
          </cell>
          <cell r="AA184">
            <v>0</v>
          </cell>
          <cell r="AB184">
            <v>8.9499999999999996E-2</v>
          </cell>
          <cell r="AC184">
            <v>109939</v>
          </cell>
          <cell r="AD184">
            <v>108714</v>
          </cell>
          <cell r="AE184">
            <v>108714</v>
          </cell>
          <cell r="AF184">
            <v>66</v>
          </cell>
          <cell r="AG184">
            <v>100.5</v>
          </cell>
          <cell r="AH184">
            <v>87.5</v>
          </cell>
          <cell r="AI184">
            <v>85.3</v>
          </cell>
          <cell r="AJ184">
            <v>0</v>
          </cell>
          <cell r="AM184">
            <v>0</v>
          </cell>
          <cell r="AN184">
            <v>0</v>
          </cell>
          <cell r="AO184">
            <v>82.3</v>
          </cell>
          <cell r="AQ184">
            <v>0</v>
          </cell>
          <cell r="AT184">
            <v>0</v>
          </cell>
          <cell r="AU184">
            <v>0</v>
          </cell>
          <cell r="AV184">
            <v>1188818</v>
          </cell>
          <cell r="AW184">
            <v>0</v>
          </cell>
          <cell r="AX184">
            <v>0</v>
          </cell>
          <cell r="AY184">
            <v>0</v>
          </cell>
          <cell r="AZ184">
            <v>1</v>
          </cell>
          <cell r="BA184">
            <v>1</v>
          </cell>
          <cell r="BB184">
            <v>0</v>
          </cell>
          <cell r="BC184">
            <v>0</v>
          </cell>
          <cell r="BE184">
            <v>1236625</v>
          </cell>
          <cell r="BF184">
            <v>53</v>
          </cell>
          <cell r="BG184">
            <v>39</v>
          </cell>
          <cell r="BH184">
            <v>33</v>
          </cell>
          <cell r="BI184">
            <v>13422054</v>
          </cell>
          <cell r="BJ184">
            <v>13486935</v>
          </cell>
          <cell r="BL184">
            <v>41</v>
          </cell>
          <cell r="BM184">
            <v>52</v>
          </cell>
          <cell r="BN184">
            <v>50</v>
          </cell>
          <cell r="BO184">
            <v>2</v>
          </cell>
          <cell r="BP184">
            <v>15</v>
          </cell>
          <cell r="BQ184">
            <v>11</v>
          </cell>
        </row>
        <row r="185">
          <cell r="A185">
            <v>392</v>
          </cell>
          <cell r="B185" t="str">
            <v>392 - Osborne County</v>
          </cell>
          <cell r="C185" t="str">
            <v>Osborne</v>
          </cell>
          <cell r="D185">
            <v>35768385</v>
          </cell>
          <cell r="E185">
            <v>31484607</v>
          </cell>
          <cell r="F185">
            <v>37333063</v>
          </cell>
          <cell r="G185">
            <v>31020194</v>
          </cell>
          <cell r="H185">
            <v>327.10000000000002</v>
          </cell>
          <cell r="I185">
            <v>308.60000000000002</v>
          </cell>
          <cell r="J185">
            <v>511</v>
          </cell>
          <cell r="K185">
            <v>3636066</v>
          </cell>
          <cell r="L185">
            <v>320.39999999999998</v>
          </cell>
          <cell r="M185">
            <v>338.1</v>
          </cell>
          <cell r="N185">
            <v>322.60000000000002</v>
          </cell>
          <cell r="O185">
            <v>317.89999999999998</v>
          </cell>
          <cell r="P185">
            <v>440564</v>
          </cell>
          <cell r="Q185">
            <v>459980</v>
          </cell>
          <cell r="R185">
            <v>370585</v>
          </cell>
          <cell r="S185">
            <v>395888</v>
          </cell>
          <cell r="T185">
            <v>0</v>
          </cell>
          <cell r="U185">
            <v>0</v>
          </cell>
          <cell r="V185">
            <v>0</v>
          </cell>
          <cell r="W185">
            <v>0.16</v>
          </cell>
          <cell r="X185">
            <v>126</v>
          </cell>
          <cell r="Y185">
            <v>53</v>
          </cell>
          <cell r="Z185">
            <v>0.15</v>
          </cell>
          <cell r="AA185">
            <v>0</v>
          </cell>
          <cell r="AB185">
            <v>0.31119999999999998</v>
          </cell>
          <cell r="AC185">
            <v>308245</v>
          </cell>
          <cell r="AD185">
            <v>291467</v>
          </cell>
          <cell r="AE185">
            <v>291467</v>
          </cell>
          <cell r="AF185">
            <v>320.39999999999998</v>
          </cell>
          <cell r="AG185">
            <v>338.1</v>
          </cell>
          <cell r="AH185">
            <v>322.60000000000002</v>
          </cell>
          <cell r="AI185">
            <v>317.89999999999998</v>
          </cell>
          <cell r="AJ185">
            <v>0</v>
          </cell>
          <cell r="AM185">
            <v>0</v>
          </cell>
          <cell r="AN185">
            <v>0</v>
          </cell>
          <cell r="AO185">
            <v>305.39999999999998</v>
          </cell>
          <cell r="AQ185">
            <v>0</v>
          </cell>
          <cell r="AT185">
            <v>0</v>
          </cell>
          <cell r="AU185">
            <v>0</v>
          </cell>
          <cell r="AV185">
            <v>3089443</v>
          </cell>
          <cell r="AW185">
            <v>54420</v>
          </cell>
          <cell r="AX185">
            <v>61875</v>
          </cell>
          <cell r="AY185">
            <v>297559</v>
          </cell>
          <cell r="AZ185">
            <v>1</v>
          </cell>
          <cell r="BA185">
            <v>1</v>
          </cell>
          <cell r="BB185">
            <v>0</v>
          </cell>
          <cell r="BC185">
            <v>0</v>
          </cell>
          <cell r="BE185">
            <v>3174750</v>
          </cell>
          <cell r="BF185">
            <v>325</v>
          </cell>
          <cell r="BG185">
            <v>130</v>
          </cell>
          <cell r="BH185">
            <v>33</v>
          </cell>
          <cell r="BI185">
            <v>35768385</v>
          </cell>
          <cell r="BJ185">
            <v>36834760</v>
          </cell>
          <cell r="BL185">
            <v>84</v>
          </cell>
          <cell r="BM185">
            <v>121</v>
          </cell>
          <cell r="BN185">
            <v>132</v>
          </cell>
          <cell r="BO185">
            <v>39</v>
          </cell>
          <cell r="BP185">
            <v>54</v>
          </cell>
          <cell r="BQ185">
            <v>43</v>
          </cell>
        </row>
        <row r="186">
          <cell r="A186">
            <v>393</v>
          </cell>
          <cell r="B186" t="str">
            <v>393 - Solomon</v>
          </cell>
          <cell r="C186" t="str">
            <v>Dickinson</v>
          </cell>
          <cell r="D186">
            <v>31918024</v>
          </cell>
          <cell r="E186">
            <v>28270912</v>
          </cell>
          <cell r="F186">
            <v>31676039</v>
          </cell>
          <cell r="G186">
            <v>25539085</v>
          </cell>
          <cell r="H186">
            <v>351</v>
          </cell>
          <cell r="I186">
            <v>354.5</v>
          </cell>
          <cell r="J186">
            <v>187.5</v>
          </cell>
          <cell r="K186">
            <v>4189771</v>
          </cell>
          <cell r="L186">
            <v>357</v>
          </cell>
          <cell r="M186">
            <v>361.5</v>
          </cell>
          <cell r="N186">
            <v>358.5</v>
          </cell>
          <cell r="O186">
            <v>386</v>
          </cell>
          <cell r="P186">
            <v>400300</v>
          </cell>
          <cell r="Q186">
            <v>394803</v>
          </cell>
          <cell r="R186">
            <v>644023</v>
          </cell>
          <cell r="S186">
            <v>363948</v>
          </cell>
          <cell r="T186">
            <v>14540</v>
          </cell>
          <cell r="U186">
            <v>16086</v>
          </cell>
          <cell r="V186">
            <v>0.05</v>
          </cell>
          <cell r="W186">
            <v>0.52</v>
          </cell>
          <cell r="X186">
            <v>195</v>
          </cell>
          <cell r="Y186">
            <v>33</v>
          </cell>
          <cell r="Z186">
            <v>0.51</v>
          </cell>
          <cell r="AA186">
            <v>0</v>
          </cell>
          <cell r="AB186">
            <v>0.47689999999999999</v>
          </cell>
          <cell r="AC186">
            <v>354175</v>
          </cell>
          <cell r="AD186">
            <v>359755</v>
          </cell>
          <cell r="AE186">
            <v>359755</v>
          </cell>
          <cell r="AF186">
            <v>357</v>
          </cell>
          <cell r="AG186">
            <v>361.5</v>
          </cell>
          <cell r="AH186">
            <v>358.5</v>
          </cell>
          <cell r="AI186">
            <v>386</v>
          </cell>
          <cell r="AJ186">
            <v>0</v>
          </cell>
          <cell r="AM186">
            <v>2</v>
          </cell>
          <cell r="AN186">
            <v>0</v>
          </cell>
          <cell r="AO186">
            <v>381.5</v>
          </cell>
          <cell r="AQ186">
            <v>0</v>
          </cell>
          <cell r="AT186">
            <v>0</v>
          </cell>
          <cell r="AU186">
            <v>0</v>
          </cell>
          <cell r="AV186">
            <v>3313431</v>
          </cell>
          <cell r="AW186">
            <v>102548</v>
          </cell>
          <cell r="AX186">
            <v>113888</v>
          </cell>
          <cell r="AY186">
            <v>553898</v>
          </cell>
          <cell r="AZ186">
            <v>1</v>
          </cell>
          <cell r="BA186">
            <v>1</v>
          </cell>
          <cell r="BB186">
            <v>0</v>
          </cell>
          <cell r="BC186">
            <v>0</v>
          </cell>
          <cell r="BE186">
            <v>3790160</v>
          </cell>
          <cell r="BF186">
            <v>4000</v>
          </cell>
          <cell r="BG186">
            <v>1894</v>
          </cell>
          <cell r="BH186">
            <v>33</v>
          </cell>
          <cell r="BI186">
            <v>31264516</v>
          </cell>
          <cell r="BJ186">
            <v>30947846</v>
          </cell>
          <cell r="BL186">
            <v>125</v>
          </cell>
          <cell r="BM186">
            <v>175</v>
          </cell>
          <cell r="BN186">
            <v>179</v>
          </cell>
          <cell r="BO186">
            <v>64</v>
          </cell>
          <cell r="BP186">
            <v>26</v>
          </cell>
          <cell r="BQ186">
            <v>32</v>
          </cell>
        </row>
        <row r="187">
          <cell r="A187">
            <v>394</v>
          </cell>
          <cell r="B187" t="str">
            <v>394 - Rose Hill Public Schools</v>
          </cell>
          <cell r="C187" t="str">
            <v>Butler</v>
          </cell>
          <cell r="D187">
            <v>109380963</v>
          </cell>
          <cell r="E187">
            <v>94695733</v>
          </cell>
          <cell r="F187">
            <v>116643243</v>
          </cell>
          <cell r="G187">
            <v>90446639</v>
          </cell>
          <cell r="H187">
            <v>1559.3</v>
          </cell>
          <cell r="I187">
            <v>1543.5</v>
          </cell>
          <cell r="J187">
            <v>55</v>
          </cell>
          <cell r="K187">
            <v>12396752</v>
          </cell>
          <cell r="L187">
            <v>1604.8</v>
          </cell>
          <cell r="M187">
            <v>1633.8</v>
          </cell>
          <cell r="N187">
            <v>1631</v>
          </cell>
          <cell r="O187">
            <v>1628.4</v>
          </cell>
          <cell r="P187">
            <v>1362804</v>
          </cell>
          <cell r="Q187">
            <v>1487276</v>
          </cell>
          <cell r="R187">
            <v>2543734</v>
          </cell>
          <cell r="S187">
            <v>1297380</v>
          </cell>
          <cell r="T187">
            <v>0</v>
          </cell>
          <cell r="U187">
            <v>0</v>
          </cell>
          <cell r="V187">
            <v>0.13</v>
          </cell>
          <cell r="W187">
            <v>0.57999999999999996</v>
          </cell>
          <cell r="X187">
            <v>427</v>
          </cell>
          <cell r="Y187">
            <v>108</v>
          </cell>
          <cell r="Z187">
            <v>0.6</v>
          </cell>
          <cell r="AA187">
            <v>0.05</v>
          </cell>
          <cell r="AB187">
            <v>0.59550000000000003</v>
          </cell>
          <cell r="AC187">
            <v>1506056</v>
          </cell>
          <cell r="AD187">
            <v>1464426</v>
          </cell>
          <cell r="AE187">
            <v>1464426</v>
          </cell>
          <cell r="AF187">
            <v>1556.3</v>
          </cell>
          <cell r="AG187">
            <v>1591.3</v>
          </cell>
          <cell r="AH187">
            <v>1576</v>
          </cell>
          <cell r="AI187">
            <v>1589.9</v>
          </cell>
          <cell r="AJ187">
            <v>5.8999999999999999E-3</v>
          </cell>
          <cell r="AM187">
            <v>64</v>
          </cell>
          <cell r="AN187">
            <v>0</v>
          </cell>
          <cell r="AO187">
            <v>1544.4</v>
          </cell>
          <cell r="AQ187">
            <v>0</v>
          </cell>
          <cell r="AT187">
            <v>0</v>
          </cell>
          <cell r="AU187">
            <v>0</v>
          </cell>
          <cell r="AV187">
            <v>10474084</v>
          </cell>
          <cell r="AW187">
            <v>587232</v>
          </cell>
          <cell r="AX187">
            <v>618717</v>
          </cell>
          <cell r="AY187">
            <v>2465806</v>
          </cell>
          <cell r="AZ187">
            <v>1</v>
          </cell>
          <cell r="BA187">
            <v>1</v>
          </cell>
          <cell r="BB187">
            <v>40750</v>
          </cell>
          <cell r="BC187">
            <v>41390</v>
          </cell>
          <cell r="BE187">
            <v>10909474</v>
          </cell>
          <cell r="BF187">
            <v>0</v>
          </cell>
          <cell r="BG187">
            <v>0</v>
          </cell>
          <cell r="BH187">
            <v>33</v>
          </cell>
          <cell r="BI187">
            <v>108028181</v>
          </cell>
          <cell r="BJ187">
            <v>119898412</v>
          </cell>
          <cell r="BL187">
            <v>274</v>
          </cell>
          <cell r="BM187">
            <v>446</v>
          </cell>
          <cell r="BN187">
            <v>443</v>
          </cell>
          <cell r="BO187">
            <v>114</v>
          </cell>
          <cell r="BP187">
            <v>113</v>
          </cell>
          <cell r="BQ187">
            <v>120</v>
          </cell>
        </row>
        <row r="188">
          <cell r="A188">
            <v>395</v>
          </cell>
          <cell r="B188" t="str">
            <v>395 - LaCrosse</v>
          </cell>
          <cell r="C188" t="str">
            <v>Rush</v>
          </cell>
          <cell r="D188">
            <v>35722706</v>
          </cell>
          <cell r="E188">
            <v>31307858</v>
          </cell>
          <cell r="F188">
            <v>34991556</v>
          </cell>
          <cell r="G188">
            <v>28503485</v>
          </cell>
          <cell r="H188">
            <v>292.10000000000002</v>
          </cell>
          <cell r="I188">
            <v>280.5</v>
          </cell>
          <cell r="J188">
            <v>486</v>
          </cell>
          <cell r="K188">
            <v>3216044</v>
          </cell>
          <cell r="L188">
            <v>285</v>
          </cell>
          <cell r="M188">
            <v>292.10000000000002</v>
          </cell>
          <cell r="N188">
            <v>280.5</v>
          </cell>
          <cell r="O188">
            <v>247.5</v>
          </cell>
          <cell r="P188">
            <v>388058</v>
          </cell>
          <cell r="Q188">
            <v>411424</v>
          </cell>
          <cell r="R188">
            <v>271932</v>
          </cell>
          <cell r="S188">
            <v>365920</v>
          </cell>
          <cell r="T188">
            <v>0</v>
          </cell>
          <cell r="U188">
            <v>0</v>
          </cell>
          <cell r="V188">
            <v>0</v>
          </cell>
          <cell r="W188">
            <v>0</v>
          </cell>
          <cell r="X188">
            <v>95</v>
          </cell>
          <cell r="Y188">
            <v>17</v>
          </cell>
          <cell r="Z188">
            <v>0</v>
          </cell>
          <cell r="AA188">
            <v>0</v>
          </cell>
          <cell r="AB188">
            <v>0.21659999999999999</v>
          </cell>
          <cell r="AC188">
            <v>354638</v>
          </cell>
          <cell r="AD188">
            <v>320529</v>
          </cell>
          <cell r="AE188">
            <v>320529</v>
          </cell>
          <cell r="AF188">
            <v>285</v>
          </cell>
          <cell r="AG188">
            <v>292.10000000000002</v>
          </cell>
          <cell r="AH188">
            <v>280.5</v>
          </cell>
          <cell r="AI188">
            <v>247.5</v>
          </cell>
          <cell r="AJ188">
            <v>0</v>
          </cell>
          <cell r="AM188">
            <v>0</v>
          </cell>
          <cell r="AN188">
            <v>0</v>
          </cell>
          <cell r="AO188">
            <v>247.5</v>
          </cell>
          <cell r="AQ188">
            <v>0</v>
          </cell>
          <cell r="AT188">
            <v>0</v>
          </cell>
          <cell r="AU188">
            <v>0</v>
          </cell>
          <cell r="AV188">
            <v>2724729</v>
          </cell>
          <cell r="AW188">
            <v>42419</v>
          </cell>
          <cell r="AX188">
            <v>13023</v>
          </cell>
          <cell r="AY188">
            <v>251616</v>
          </cell>
          <cell r="AZ188">
            <v>1</v>
          </cell>
          <cell r="BA188">
            <v>1</v>
          </cell>
          <cell r="BB188">
            <v>0</v>
          </cell>
          <cell r="BC188">
            <v>0</v>
          </cell>
          <cell r="BE188">
            <v>2800463</v>
          </cell>
          <cell r="BF188">
            <v>0</v>
          </cell>
          <cell r="BG188">
            <v>0</v>
          </cell>
          <cell r="BH188">
            <v>33</v>
          </cell>
          <cell r="BI188">
            <v>35722706</v>
          </cell>
          <cell r="BJ188">
            <v>34814942</v>
          </cell>
          <cell r="BL188">
            <v>89</v>
          </cell>
          <cell r="BM188">
            <v>126</v>
          </cell>
          <cell r="BN188">
            <v>116</v>
          </cell>
          <cell r="BO188">
            <v>22</v>
          </cell>
          <cell r="BP188">
            <v>17</v>
          </cell>
          <cell r="BQ188">
            <v>16</v>
          </cell>
        </row>
        <row r="189">
          <cell r="A189">
            <v>396</v>
          </cell>
          <cell r="B189" t="str">
            <v>396 - Douglass Public Schools</v>
          </cell>
          <cell r="C189" t="str">
            <v>Butler</v>
          </cell>
          <cell r="D189">
            <v>48329326</v>
          </cell>
          <cell r="E189">
            <v>41839105</v>
          </cell>
          <cell r="F189">
            <v>50595666</v>
          </cell>
          <cell r="G189">
            <v>39473312</v>
          </cell>
          <cell r="H189">
            <v>617.79999999999995</v>
          </cell>
          <cell r="I189">
            <v>582</v>
          </cell>
          <cell r="J189">
            <v>125</v>
          </cell>
          <cell r="K189">
            <v>6019132</v>
          </cell>
          <cell r="L189">
            <v>617.1</v>
          </cell>
          <cell r="M189">
            <v>628</v>
          </cell>
          <cell r="N189">
            <v>594.79999999999995</v>
          </cell>
          <cell r="O189">
            <v>568.9</v>
          </cell>
          <cell r="P189">
            <v>619099</v>
          </cell>
          <cell r="Q189">
            <v>664960</v>
          </cell>
          <cell r="R189">
            <v>1108375</v>
          </cell>
          <cell r="S189">
            <v>745599</v>
          </cell>
          <cell r="T189">
            <v>0</v>
          </cell>
          <cell r="U189">
            <v>0</v>
          </cell>
          <cell r="V189">
            <v>0</v>
          </cell>
          <cell r="W189">
            <v>0.44</v>
          </cell>
          <cell r="X189">
            <v>197</v>
          </cell>
          <cell r="Y189">
            <v>47</v>
          </cell>
          <cell r="Z189">
            <v>0.43</v>
          </cell>
          <cell r="AA189">
            <v>0</v>
          </cell>
          <cell r="AB189">
            <v>0.50880000000000003</v>
          </cell>
          <cell r="AC189">
            <v>653918</v>
          </cell>
          <cell r="AD189">
            <v>628617</v>
          </cell>
          <cell r="AE189">
            <v>628617</v>
          </cell>
          <cell r="AF189">
            <v>614.9</v>
          </cell>
          <cell r="AG189">
            <v>623.29999999999995</v>
          </cell>
          <cell r="AH189">
            <v>588.5</v>
          </cell>
          <cell r="AI189">
            <v>558.9</v>
          </cell>
          <cell r="AJ189">
            <v>0</v>
          </cell>
          <cell r="AM189">
            <v>12</v>
          </cell>
          <cell r="AN189">
            <v>0</v>
          </cell>
          <cell r="AO189">
            <v>550.9</v>
          </cell>
          <cell r="AQ189">
            <v>0</v>
          </cell>
          <cell r="AT189">
            <v>0</v>
          </cell>
          <cell r="AU189">
            <v>0</v>
          </cell>
          <cell r="AV189">
            <v>5254385</v>
          </cell>
          <cell r="AW189">
            <v>222365</v>
          </cell>
          <cell r="AX189">
            <v>208599</v>
          </cell>
          <cell r="AY189">
            <v>1164283</v>
          </cell>
          <cell r="AZ189">
            <v>1</v>
          </cell>
          <cell r="BA189">
            <v>1</v>
          </cell>
          <cell r="BB189">
            <v>0</v>
          </cell>
          <cell r="BC189">
            <v>0</v>
          </cell>
          <cell r="BE189">
            <v>5353934</v>
          </cell>
          <cell r="BF189">
            <v>4034</v>
          </cell>
          <cell r="BG189">
            <v>3193</v>
          </cell>
          <cell r="BH189">
            <v>33</v>
          </cell>
          <cell r="BI189">
            <v>47935439</v>
          </cell>
          <cell r="BJ189">
            <v>50168987</v>
          </cell>
          <cell r="BL189">
            <v>146</v>
          </cell>
          <cell r="BM189">
            <v>217</v>
          </cell>
          <cell r="BN189">
            <v>223</v>
          </cell>
          <cell r="BO189">
            <v>73</v>
          </cell>
          <cell r="BP189">
            <v>58</v>
          </cell>
          <cell r="BQ189">
            <v>33</v>
          </cell>
        </row>
        <row r="190">
          <cell r="A190">
            <v>397</v>
          </cell>
          <cell r="B190" t="str">
            <v>397 - Centre</v>
          </cell>
          <cell r="C190" t="str">
            <v>Marion</v>
          </cell>
          <cell r="D190">
            <v>37657663</v>
          </cell>
          <cell r="E190">
            <v>35142152</v>
          </cell>
          <cell r="F190">
            <v>37921915</v>
          </cell>
          <cell r="G190">
            <v>34276529</v>
          </cell>
          <cell r="H190">
            <v>175</v>
          </cell>
          <cell r="I190">
            <v>184.5</v>
          </cell>
          <cell r="J190">
            <v>400</v>
          </cell>
          <cell r="K190">
            <v>4027247</v>
          </cell>
          <cell r="L190">
            <v>424</v>
          </cell>
          <cell r="M190">
            <v>400.7</v>
          </cell>
          <cell r="N190">
            <v>431.6</v>
          </cell>
          <cell r="O190">
            <v>435</v>
          </cell>
          <cell r="P190">
            <v>451452</v>
          </cell>
          <cell r="Q190">
            <v>562666</v>
          </cell>
          <cell r="R190">
            <v>394664</v>
          </cell>
          <cell r="S190">
            <v>311503</v>
          </cell>
          <cell r="T190">
            <v>16053</v>
          </cell>
          <cell r="U190">
            <v>11324</v>
          </cell>
          <cell r="V190">
            <v>0</v>
          </cell>
          <cell r="W190">
            <v>0.45</v>
          </cell>
          <cell r="X190">
            <v>70</v>
          </cell>
          <cell r="Y190">
            <v>34</v>
          </cell>
          <cell r="Z190">
            <v>0.44</v>
          </cell>
          <cell r="AA190">
            <v>0</v>
          </cell>
          <cell r="AB190">
            <v>0.44180000000000003</v>
          </cell>
          <cell r="AC190">
            <v>321235</v>
          </cell>
          <cell r="AD190">
            <v>315408</v>
          </cell>
          <cell r="AE190">
            <v>315408</v>
          </cell>
          <cell r="AF190">
            <v>165</v>
          </cell>
          <cell r="AG190">
            <v>177.5</v>
          </cell>
          <cell r="AH190">
            <v>186</v>
          </cell>
          <cell r="AI190">
            <v>171</v>
          </cell>
          <cell r="AJ190">
            <v>0</v>
          </cell>
          <cell r="AM190">
            <v>2</v>
          </cell>
          <cell r="AN190">
            <v>0</v>
          </cell>
          <cell r="AO190">
            <v>166.5</v>
          </cell>
          <cell r="AQ190">
            <v>0</v>
          </cell>
          <cell r="AT190">
            <v>0</v>
          </cell>
          <cell r="AU190">
            <v>0</v>
          </cell>
          <cell r="AV190">
            <v>3247755</v>
          </cell>
          <cell r="AW190">
            <v>70043</v>
          </cell>
          <cell r="AX190">
            <v>104472</v>
          </cell>
          <cell r="AY190">
            <v>363636</v>
          </cell>
          <cell r="AZ190">
            <v>1</v>
          </cell>
          <cell r="BA190">
            <v>1</v>
          </cell>
          <cell r="BB190">
            <v>0</v>
          </cell>
          <cell r="BC190">
            <v>0</v>
          </cell>
          <cell r="BE190">
            <v>3464342</v>
          </cell>
          <cell r="BF190">
            <v>450</v>
          </cell>
          <cell r="BG190">
            <v>1837</v>
          </cell>
          <cell r="BH190">
            <v>33</v>
          </cell>
          <cell r="BI190">
            <v>37657663</v>
          </cell>
          <cell r="BJ190">
            <v>37921915</v>
          </cell>
          <cell r="BL190">
            <v>47</v>
          </cell>
          <cell r="BM190">
            <v>62</v>
          </cell>
          <cell r="BN190">
            <v>74</v>
          </cell>
          <cell r="BO190">
            <v>13</v>
          </cell>
          <cell r="BP190">
            <v>24</v>
          </cell>
          <cell r="BQ190">
            <v>21</v>
          </cell>
        </row>
        <row r="191">
          <cell r="A191">
            <v>398</v>
          </cell>
          <cell r="B191" t="str">
            <v>398 - Peabody-Burns</v>
          </cell>
          <cell r="C191" t="str">
            <v>Marion</v>
          </cell>
          <cell r="D191">
            <v>39038079</v>
          </cell>
          <cell r="E191">
            <v>35161366</v>
          </cell>
          <cell r="F191">
            <v>39543553</v>
          </cell>
          <cell r="G191">
            <v>33594332</v>
          </cell>
          <cell r="H191">
            <v>195</v>
          </cell>
          <cell r="I191">
            <v>187</v>
          </cell>
          <cell r="J191">
            <v>235</v>
          </cell>
          <cell r="K191">
            <v>2625914</v>
          </cell>
          <cell r="L191">
            <v>212.4</v>
          </cell>
          <cell r="M191">
            <v>206.7</v>
          </cell>
          <cell r="N191">
            <v>199.4</v>
          </cell>
          <cell r="O191">
            <v>195.4</v>
          </cell>
          <cell r="P191">
            <v>300931</v>
          </cell>
          <cell r="Q191">
            <v>341685</v>
          </cell>
          <cell r="R191">
            <v>0</v>
          </cell>
          <cell r="S191">
            <v>429491</v>
          </cell>
          <cell r="T191">
            <v>16790</v>
          </cell>
          <cell r="U191">
            <v>9890</v>
          </cell>
          <cell r="V191">
            <v>0</v>
          </cell>
          <cell r="W191">
            <v>0</v>
          </cell>
          <cell r="X191">
            <v>103</v>
          </cell>
          <cell r="Y191">
            <v>13</v>
          </cell>
          <cell r="Z191">
            <v>0</v>
          </cell>
          <cell r="AA191">
            <v>0</v>
          </cell>
          <cell r="AB191">
            <v>0</v>
          </cell>
          <cell r="AC191">
            <v>255855</v>
          </cell>
          <cell r="AD191">
            <v>232495</v>
          </cell>
          <cell r="AE191">
            <v>232495</v>
          </cell>
          <cell r="AF191">
            <v>204.5</v>
          </cell>
          <cell r="AG191">
            <v>198.5</v>
          </cell>
          <cell r="AH191">
            <v>194</v>
          </cell>
          <cell r="AI191">
            <v>190.5</v>
          </cell>
          <cell r="AJ191">
            <v>0</v>
          </cell>
          <cell r="AM191">
            <v>0</v>
          </cell>
          <cell r="AN191">
            <v>0</v>
          </cell>
          <cell r="AO191">
            <v>186.5</v>
          </cell>
          <cell r="AQ191">
            <v>0</v>
          </cell>
          <cell r="AT191">
            <v>0</v>
          </cell>
          <cell r="AU191">
            <v>0</v>
          </cell>
          <cell r="AV191">
            <v>2254913</v>
          </cell>
          <cell r="AW191">
            <v>0</v>
          </cell>
          <cell r="AX191">
            <v>0</v>
          </cell>
          <cell r="AY191">
            <v>0</v>
          </cell>
          <cell r="AZ191">
            <v>1</v>
          </cell>
          <cell r="BA191">
            <v>1</v>
          </cell>
          <cell r="BB191">
            <v>0</v>
          </cell>
          <cell r="BC191">
            <v>0</v>
          </cell>
          <cell r="BE191">
            <v>2283201</v>
          </cell>
          <cell r="BF191">
            <v>634</v>
          </cell>
          <cell r="BG191">
            <v>2111</v>
          </cell>
          <cell r="BH191">
            <v>33</v>
          </cell>
          <cell r="BI191">
            <v>39038079</v>
          </cell>
          <cell r="BJ191">
            <v>39465820</v>
          </cell>
          <cell r="BL191">
            <v>82</v>
          </cell>
          <cell r="BM191">
            <v>105</v>
          </cell>
          <cell r="BN191">
            <v>106</v>
          </cell>
          <cell r="BO191">
            <v>31</v>
          </cell>
          <cell r="BP191">
            <v>16</v>
          </cell>
          <cell r="BQ191">
            <v>10</v>
          </cell>
        </row>
        <row r="192">
          <cell r="A192">
            <v>399</v>
          </cell>
          <cell r="B192" t="str">
            <v>399 - Paradise</v>
          </cell>
          <cell r="C192" t="str">
            <v>Russell</v>
          </cell>
          <cell r="D192">
            <v>29580228</v>
          </cell>
          <cell r="E192">
            <v>28136637</v>
          </cell>
          <cell r="F192">
            <v>32554800</v>
          </cell>
          <cell r="G192">
            <v>30553332</v>
          </cell>
          <cell r="H192">
            <v>108.5</v>
          </cell>
          <cell r="I192">
            <v>91</v>
          </cell>
          <cell r="J192">
            <v>439</v>
          </cell>
          <cell r="K192">
            <v>1441304</v>
          </cell>
          <cell r="L192">
            <v>122</v>
          </cell>
          <cell r="M192">
            <v>109</v>
          </cell>
          <cell r="N192">
            <v>92</v>
          </cell>
          <cell r="O192">
            <v>106.4</v>
          </cell>
          <cell r="P192">
            <v>138278</v>
          </cell>
          <cell r="Q192">
            <v>134126</v>
          </cell>
          <cell r="R192">
            <v>0</v>
          </cell>
          <cell r="S192">
            <v>173570</v>
          </cell>
          <cell r="T192">
            <v>0</v>
          </cell>
          <cell r="U192">
            <v>0</v>
          </cell>
          <cell r="V192">
            <v>0</v>
          </cell>
          <cell r="W192">
            <v>0</v>
          </cell>
          <cell r="X192">
            <v>41</v>
          </cell>
          <cell r="Y192">
            <v>30</v>
          </cell>
          <cell r="Z192">
            <v>0</v>
          </cell>
          <cell r="AA192">
            <v>0</v>
          </cell>
          <cell r="AB192">
            <v>0</v>
          </cell>
          <cell r="AC192">
            <v>154566</v>
          </cell>
          <cell r="AD192">
            <v>135888</v>
          </cell>
          <cell r="AE192">
            <v>135888</v>
          </cell>
          <cell r="AF192">
            <v>122</v>
          </cell>
          <cell r="AG192">
            <v>109</v>
          </cell>
          <cell r="AH192">
            <v>92</v>
          </cell>
          <cell r="AI192">
            <v>106.4</v>
          </cell>
          <cell r="AJ192">
            <v>0</v>
          </cell>
          <cell r="AM192">
            <v>0</v>
          </cell>
          <cell r="AN192">
            <v>0</v>
          </cell>
          <cell r="AO192">
            <v>105.4</v>
          </cell>
          <cell r="AQ192">
            <v>0</v>
          </cell>
          <cell r="AT192">
            <v>0</v>
          </cell>
          <cell r="AU192">
            <v>0</v>
          </cell>
          <cell r="AV192">
            <v>1340726</v>
          </cell>
          <cell r="AW192">
            <v>0</v>
          </cell>
          <cell r="AX192">
            <v>0</v>
          </cell>
          <cell r="AY192">
            <v>0</v>
          </cell>
          <cell r="AZ192">
            <v>1</v>
          </cell>
          <cell r="BA192">
            <v>1</v>
          </cell>
          <cell r="BB192">
            <v>0</v>
          </cell>
          <cell r="BC192">
            <v>0</v>
          </cell>
          <cell r="BE192">
            <v>1292119</v>
          </cell>
          <cell r="BF192">
            <v>0</v>
          </cell>
          <cell r="BG192">
            <v>0</v>
          </cell>
          <cell r="BH192">
            <v>33</v>
          </cell>
          <cell r="BI192">
            <v>29580228</v>
          </cell>
          <cell r="BJ192">
            <v>32529802</v>
          </cell>
          <cell r="BL192">
            <v>52</v>
          </cell>
          <cell r="BM192">
            <v>55</v>
          </cell>
          <cell r="BN192">
            <v>39</v>
          </cell>
          <cell r="BO192">
            <v>23</v>
          </cell>
          <cell r="BP192">
            <v>13</v>
          </cell>
          <cell r="BQ192">
            <v>22</v>
          </cell>
        </row>
        <row r="193">
          <cell r="A193">
            <v>400</v>
          </cell>
          <cell r="B193" t="str">
            <v>400 - Smoky Valley</v>
          </cell>
          <cell r="C193" t="str">
            <v>McPherson</v>
          </cell>
          <cell r="D193">
            <v>92305300</v>
          </cell>
          <cell r="E193">
            <v>80171689</v>
          </cell>
          <cell r="F193">
            <v>94206272</v>
          </cell>
          <cell r="G193">
            <v>72927205</v>
          </cell>
          <cell r="H193">
            <v>778</v>
          </cell>
          <cell r="I193">
            <v>762.7</v>
          </cell>
          <cell r="J193">
            <v>395.5</v>
          </cell>
          <cell r="K193">
            <v>8820670</v>
          </cell>
          <cell r="L193">
            <v>1015.7</v>
          </cell>
          <cell r="M193">
            <v>958.7</v>
          </cell>
          <cell r="N193">
            <v>964.2</v>
          </cell>
          <cell r="O193">
            <v>992.4</v>
          </cell>
          <cell r="P193">
            <v>967752</v>
          </cell>
          <cell r="Q193">
            <v>1071589</v>
          </cell>
          <cell r="R193">
            <v>1050586</v>
          </cell>
          <cell r="S193">
            <v>934526</v>
          </cell>
          <cell r="T193">
            <v>9788</v>
          </cell>
          <cell r="U193">
            <v>13438</v>
          </cell>
          <cell r="V193">
            <v>0</v>
          </cell>
          <cell r="W193">
            <v>0.37</v>
          </cell>
          <cell r="X193">
            <v>226</v>
          </cell>
          <cell r="Y193">
            <v>88</v>
          </cell>
          <cell r="Z193">
            <v>0.36</v>
          </cell>
          <cell r="AA193">
            <v>0</v>
          </cell>
          <cell r="AB193">
            <v>0.40770000000000001</v>
          </cell>
          <cell r="AC193">
            <v>830894</v>
          </cell>
          <cell r="AD193">
            <v>785214</v>
          </cell>
          <cell r="AE193">
            <v>785214</v>
          </cell>
          <cell r="AF193">
            <v>783.4</v>
          </cell>
          <cell r="AG193">
            <v>790.5</v>
          </cell>
          <cell r="AH193">
            <v>781.2</v>
          </cell>
          <cell r="AI193">
            <v>782.3</v>
          </cell>
          <cell r="AJ193">
            <v>0</v>
          </cell>
          <cell r="AM193">
            <v>5</v>
          </cell>
          <cell r="AN193">
            <v>0</v>
          </cell>
          <cell r="AO193">
            <v>769.3</v>
          </cell>
          <cell r="AQ193">
            <v>0</v>
          </cell>
          <cell r="AT193">
            <v>0</v>
          </cell>
          <cell r="AU193">
            <v>0</v>
          </cell>
          <cell r="AV193">
            <v>7186318</v>
          </cell>
          <cell r="AW193">
            <v>250597</v>
          </cell>
          <cell r="AX193">
            <v>278472</v>
          </cell>
          <cell r="AY193">
            <v>1016291</v>
          </cell>
          <cell r="AZ193">
            <v>1</v>
          </cell>
          <cell r="BA193">
            <v>1</v>
          </cell>
          <cell r="BB193">
            <v>0</v>
          </cell>
          <cell r="BC193">
            <v>0</v>
          </cell>
          <cell r="BE193">
            <v>7749022</v>
          </cell>
          <cell r="BF193">
            <v>5744</v>
          </cell>
          <cell r="BG193">
            <v>2149</v>
          </cell>
          <cell r="BH193">
            <v>33</v>
          </cell>
          <cell r="BI193">
            <v>92305300</v>
          </cell>
          <cell r="BJ193">
            <v>94206272</v>
          </cell>
          <cell r="BL193">
            <v>146</v>
          </cell>
          <cell r="BM193">
            <v>227</v>
          </cell>
          <cell r="BN193">
            <v>231</v>
          </cell>
          <cell r="BO193">
            <v>76</v>
          </cell>
          <cell r="BP193">
            <v>62</v>
          </cell>
          <cell r="BQ193">
            <v>72</v>
          </cell>
        </row>
        <row r="194">
          <cell r="A194">
            <v>401</v>
          </cell>
          <cell r="B194" t="str">
            <v>401 - Chase-Raymond</v>
          </cell>
          <cell r="C194" t="str">
            <v>Rice</v>
          </cell>
          <cell r="D194">
            <v>25988357</v>
          </cell>
          <cell r="E194">
            <v>24554099</v>
          </cell>
          <cell r="F194">
            <v>25761837</v>
          </cell>
          <cell r="G194">
            <v>23704346</v>
          </cell>
          <cell r="H194">
            <v>135</v>
          </cell>
          <cell r="I194">
            <v>114</v>
          </cell>
          <cell r="J194">
            <v>196</v>
          </cell>
          <cell r="K194">
            <v>1850032</v>
          </cell>
          <cell r="L194">
            <v>140</v>
          </cell>
          <cell r="M194">
            <v>139</v>
          </cell>
          <cell r="N194">
            <v>119.5</v>
          </cell>
          <cell r="O194">
            <v>111.5</v>
          </cell>
          <cell r="P194">
            <v>179693</v>
          </cell>
          <cell r="Q194">
            <v>196929</v>
          </cell>
          <cell r="R194">
            <v>0</v>
          </cell>
          <cell r="S194">
            <v>145015</v>
          </cell>
          <cell r="T194">
            <v>0</v>
          </cell>
          <cell r="U194">
            <v>0</v>
          </cell>
          <cell r="V194">
            <v>0</v>
          </cell>
          <cell r="W194">
            <v>0</v>
          </cell>
          <cell r="X194">
            <v>86</v>
          </cell>
          <cell r="Y194">
            <v>5</v>
          </cell>
          <cell r="Z194">
            <v>0</v>
          </cell>
          <cell r="AA194">
            <v>0</v>
          </cell>
          <cell r="AB194">
            <v>0</v>
          </cell>
          <cell r="AC194">
            <v>174095</v>
          </cell>
          <cell r="AD194">
            <v>178410</v>
          </cell>
          <cell r="AE194">
            <v>178410</v>
          </cell>
          <cell r="AF194">
            <v>140</v>
          </cell>
          <cell r="AG194">
            <v>139</v>
          </cell>
          <cell r="AH194">
            <v>119.5</v>
          </cell>
          <cell r="AI194">
            <v>111.5</v>
          </cell>
          <cell r="AJ194">
            <v>0</v>
          </cell>
          <cell r="AM194">
            <v>0</v>
          </cell>
          <cell r="AN194">
            <v>0</v>
          </cell>
          <cell r="AO194">
            <v>109</v>
          </cell>
          <cell r="AQ194">
            <v>0</v>
          </cell>
          <cell r="AT194">
            <v>0</v>
          </cell>
          <cell r="AU194">
            <v>0</v>
          </cell>
          <cell r="AV194">
            <v>1719795</v>
          </cell>
          <cell r="AW194">
            <v>0</v>
          </cell>
          <cell r="AX194">
            <v>0</v>
          </cell>
          <cell r="AY194">
            <v>0</v>
          </cell>
          <cell r="AZ194">
            <v>1</v>
          </cell>
          <cell r="BA194">
            <v>1</v>
          </cell>
          <cell r="BB194">
            <v>0</v>
          </cell>
          <cell r="BC194">
            <v>0</v>
          </cell>
          <cell r="BE194">
            <v>1644539</v>
          </cell>
          <cell r="BF194">
            <v>0</v>
          </cell>
          <cell r="BG194">
            <v>0</v>
          </cell>
          <cell r="BH194">
            <v>33</v>
          </cell>
          <cell r="BI194">
            <v>25988357</v>
          </cell>
          <cell r="BJ194">
            <v>24818009</v>
          </cell>
          <cell r="BL194">
            <v>71</v>
          </cell>
          <cell r="BM194">
            <v>105</v>
          </cell>
          <cell r="BN194">
            <v>95</v>
          </cell>
          <cell r="BO194">
            <v>23</v>
          </cell>
          <cell r="BP194">
            <v>14</v>
          </cell>
          <cell r="BQ194">
            <v>17</v>
          </cell>
        </row>
        <row r="195">
          <cell r="A195">
            <v>402</v>
          </cell>
          <cell r="B195" t="str">
            <v>402 - Augusta</v>
          </cell>
          <cell r="C195" t="str">
            <v>Butler</v>
          </cell>
          <cell r="D195">
            <v>136513330</v>
          </cell>
          <cell r="E195">
            <v>115523829</v>
          </cell>
          <cell r="F195">
            <v>144807915</v>
          </cell>
          <cell r="G195">
            <v>108414581</v>
          </cell>
          <cell r="H195">
            <v>1947.1</v>
          </cell>
          <cell r="I195">
            <v>1892.5</v>
          </cell>
          <cell r="J195">
            <v>69.5</v>
          </cell>
          <cell r="K195">
            <v>15153625</v>
          </cell>
          <cell r="L195">
            <v>1970</v>
          </cell>
          <cell r="M195">
            <v>1975.1</v>
          </cell>
          <cell r="N195">
            <v>1923</v>
          </cell>
          <cell r="O195">
            <v>1870.4</v>
          </cell>
          <cell r="P195">
            <v>1635110</v>
          </cell>
          <cell r="Q195">
            <v>1818020</v>
          </cell>
          <cell r="R195">
            <v>3009457</v>
          </cell>
          <cell r="S195">
            <v>1657128</v>
          </cell>
          <cell r="T195">
            <v>0</v>
          </cell>
          <cell r="U195">
            <v>0</v>
          </cell>
          <cell r="V195">
            <v>0.08</v>
          </cell>
          <cell r="W195">
            <v>0.55000000000000004</v>
          </cell>
          <cell r="X195">
            <v>717</v>
          </cell>
          <cell r="Y195">
            <v>170</v>
          </cell>
          <cell r="Z195">
            <v>0.54</v>
          </cell>
          <cell r="AA195">
            <v>0</v>
          </cell>
          <cell r="AB195">
            <v>0.56530000000000002</v>
          </cell>
          <cell r="AC195">
            <v>1675498</v>
          </cell>
          <cell r="AD195">
            <v>1650072</v>
          </cell>
          <cell r="AE195">
            <v>1650072</v>
          </cell>
          <cell r="AF195">
            <v>1966</v>
          </cell>
          <cell r="AG195">
            <v>1970.1</v>
          </cell>
          <cell r="AH195">
            <v>1920</v>
          </cell>
          <cell r="AI195">
            <v>1865.4</v>
          </cell>
          <cell r="AJ195">
            <v>0</v>
          </cell>
          <cell r="AM195">
            <v>4</v>
          </cell>
          <cell r="AN195">
            <v>0</v>
          </cell>
          <cell r="AO195">
            <v>1840.9</v>
          </cell>
          <cell r="AQ195">
            <v>0</v>
          </cell>
          <cell r="AT195">
            <v>0</v>
          </cell>
          <cell r="AU195">
            <v>0</v>
          </cell>
          <cell r="AV195">
            <v>12861751</v>
          </cell>
          <cell r="AW195">
            <v>655759</v>
          </cell>
          <cell r="AX195">
            <v>680132</v>
          </cell>
          <cell r="AY195">
            <v>2992290</v>
          </cell>
          <cell r="AZ195">
            <v>1</v>
          </cell>
          <cell r="BA195">
            <v>1</v>
          </cell>
          <cell r="BB195">
            <v>0</v>
          </cell>
          <cell r="BC195">
            <v>0</v>
          </cell>
          <cell r="BE195">
            <v>13334452</v>
          </cell>
          <cell r="BF195">
            <v>8087</v>
          </cell>
          <cell r="BG195">
            <v>19639</v>
          </cell>
          <cell r="BH195">
            <v>33</v>
          </cell>
          <cell r="BI195">
            <v>135197635</v>
          </cell>
          <cell r="BJ195">
            <v>143598581</v>
          </cell>
          <cell r="BL195">
            <v>506</v>
          </cell>
          <cell r="BM195">
            <v>749</v>
          </cell>
          <cell r="BN195">
            <v>728</v>
          </cell>
          <cell r="BO195">
            <v>253</v>
          </cell>
          <cell r="BP195">
            <v>148</v>
          </cell>
          <cell r="BQ195">
            <v>171</v>
          </cell>
        </row>
        <row r="196">
          <cell r="A196">
            <v>403</v>
          </cell>
          <cell r="B196" t="str">
            <v>403 - Otis-Bison</v>
          </cell>
          <cell r="C196" t="str">
            <v>Rush</v>
          </cell>
          <cell r="D196">
            <v>27157464</v>
          </cell>
          <cell r="E196">
            <v>24466173</v>
          </cell>
          <cell r="F196">
            <v>26951346</v>
          </cell>
          <cell r="G196">
            <v>23046738</v>
          </cell>
          <cell r="H196">
            <v>201.6</v>
          </cell>
          <cell r="I196">
            <v>163.6</v>
          </cell>
          <cell r="J196">
            <v>339.5</v>
          </cell>
          <cell r="K196">
            <v>2480736</v>
          </cell>
          <cell r="L196">
            <v>222.9</v>
          </cell>
          <cell r="M196">
            <v>232.4</v>
          </cell>
          <cell r="N196">
            <v>192.4</v>
          </cell>
          <cell r="O196">
            <v>160.69999999999999</v>
          </cell>
          <cell r="P196">
            <v>302819</v>
          </cell>
          <cell r="Q196">
            <v>359871</v>
          </cell>
          <cell r="R196">
            <v>138851</v>
          </cell>
          <cell r="S196">
            <v>252027</v>
          </cell>
          <cell r="T196">
            <v>0</v>
          </cell>
          <cell r="U196">
            <v>0</v>
          </cell>
          <cell r="V196">
            <v>0</v>
          </cell>
          <cell r="W196">
            <v>0</v>
          </cell>
          <cell r="X196">
            <v>41</v>
          </cell>
          <cell r="Y196">
            <v>21</v>
          </cell>
          <cell r="Z196">
            <v>0</v>
          </cell>
          <cell r="AA196">
            <v>0</v>
          </cell>
          <cell r="AB196">
            <v>0.1072</v>
          </cell>
          <cell r="AC196">
            <v>226729</v>
          </cell>
          <cell r="AD196">
            <v>212822</v>
          </cell>
          <cell r="AE196">
            <v>212822</v>
          </cell>
          <cell r="AF196">
            <v>195.3</v>
          </cell>
          <cell r="AG196">
            <v>206.1</v>
          </cell>
          <cell r="AH196">
            <v>166.6</v>
          </cell>
          <cell r="AI196">
            <v>142.5</v>
          </cell>
          <cell r="AJ196">
            <v>0</v>
          </cell>
          <cell r="AM196">
            <v>1</v>
          </cell>
          <cell r="AN196">
            <v>0</v>
          </cell>
          <cell r="AO196">
            <v>139.5</v>
          </cell>
          <cell r="AQ196">
            <v>0</v>
          </cell>
          <cell r="AT196">
            <v>0</v>
          </cell>
          <cell r="AU196">
            <v>0</v>
          </cell>
          <cell r="AV196">
            <v>2236087</v>
          </cell>
          <cell r="AW196">
            <v>10863</v>
          </cell>
          <cell r="AX196">
            <v>0</v>
          </cell>
          <cell r="AY196">
            <v>137222</v>
          </cell>
          <cell r="AZ196">
            <v>1</v>
          </cell>
          <cell r="BA196">
            <v>1</v>
          </cell>
          <cell r="BB196">
            <v>0</v>
          </cell>
          <cell r="BC196">
            <v>0</v>
          </cell>
          <cell r="BE196">
            <v>2116843</v>
          </cell>
          <cell r="BF196">
            <v>1826</v>
          </cell>
          <cell r="BG196">
            <v>1830</v>
          </cell>
          <cell r="BH196">
            <v>33</v>
          </cell>
          <cell r="BI196">
            <v>27157464</v>
          </cell>
          <cell r="BJ196">
            <v>26935557</v>
          </cell>
          <cell r="BL196">
            <v>49</v>
          </cell>
          <cell r="BM196">
            <v>51</v>
          </cell>
          <cell r="BN196">
            <v>63</v>
          </cell>
          <cell r="BO196">
            <v>27</v>
          </cell>
          <cell r="BP196">
            <v>24</v>
          </cell>
          <cell r="BQ196">
            <v>22</v>
          </cell>
        </row>
        <row r="197">
          <cell r="A197">
            <v>404</v>
          </cell>
          <cell r="B197" t="str">
            <v>404 - Riverton</v>
          </cell>
          <cell r="C197" t="str">
            <v>Cherokee</v>
          </cell>
          <cell r="D197">
            <v>48725770</v>
          </cell>
          <cell r="E197">
            <v>41854703</v>
          </cell>
          <cell r="F197">
            <v>50569298</v>
          </cell>
          <cell r="G197">
            <v>39388054</v>
          </cell>
          <cell r="H197">
            <v>671.5</v>
          </cell>
          <cell r="I197">
            <v>657.5</v>
          </cell>
          <cell r="J197">
            <v>60</v>
          </cell>
          <cell r="K197">
            <v>6911995</v>
          </cell>
          <cell r="L197">
            <v>656</v>
          </cell>
          <cell r="M197">
            <v>682.8</v>
          </cell>
          <cell r="N197">
            <v>671.5</v>
          </cell>
          <cell r="O197">
            <v>651.6</v>
          </cell>
          <cell r="P197">
            <v>689557</v>
          </cell>
          <cell r="Q197">
            <v>732824</v>
          </cell>
          <cell r="R197">
            <v>1366093</v>
          </cell>
          <cell r="S197">
            <v>675003</v>
          </cell>
          <cell r="T197">
            <v>5557</v>
          </cell>
          <cell r="U197">
            <v>5687</v>
          </cell>
          <cell r="V197">
            <v>7.0000000000000007E-2</v>
          </cell>
          <cell r="W197">
            <v>0.55000000000000004</v>
          </cell>
          <cell r="X197">
            <v>303</v>
          </cell>
          <cell r="Y197">
            <v>84</v>
          </cell>
          <cell r="Z197">
            <v>0.54</v>
          </cell>
          <cell r="AA197">
            <v>0</v>
          </cell>
          <cell r="AB197">
            <v>0.56910000000000005</v>
          </cell>
          <cell r="AC197">
            <v>694407</v>
          </cell>
          <cell r="AD197">
            <v>645867</v>
          </cell>
          <cell r="AE197">
            <v>645867</v>
          </cell>
          <cell r="AF197">
            <v>652</v>
          </cell>
          <cell r="AG197">
            <v>679</v>
          </cell>
          <cell r="AH197">
            <v>666</v>
          </cell>
          <cell r="AI197">
            <v>645.9</v>
          </cell>
          <cell r="AJ197">
            <v>0</v>
          </cell>
          <cell r="AM197">
            <v>1</v>
          </cell>
          <cell r="AN197">
            <v>0</v>
          </cell>
          <cell r="AO197">
            <v>636.1</v>
          </cell>
          <cell r="AQ197">
            <v>0</v>
          </cell>
          <cell r="AT197">
            <v>0</v>
          </cell>
          <cell r="AU197">
            <v>0</v>
          </cell>
          <cell r="AV197">
            <v>5952986</v>
          </cell>
          <cell r="AW197">
            <v>242720</v>
          </cell>
          <cell r="AX197">
            <v>244627</v>
          </cell>
          <cell r="AY197">
            <v>1340992</v>
          </cell>
          <cell r="AZ197">
            <v>1</v>
          </cell>
          <cell r="BA197">
            <v>1</v>
          </cell>
          <cell r="BB197">
            <v>0</v>
          </cell>
          <cell r="BC197">
            <v>0</v>
          </cell>
          <cell r="BE197">
            <v>6179171</v>
          </cell>
          <cell r="BF197">
            <v>809</v>
          </cell>
          <cell r="BG197">
            <v>731</v>
          </cell>
          <cell r="BH197">
            <v>33</v>
          </cell>
          <cell r="BI197">
            <v>48347491</v>
          </cell>
          <cell r="BJ197">
            <v>50128524</v>
          </cell>
          <cell r="BL197">
            <v>249</v>
          </cell>
          <cell r="BM197">
            <v>322</v>
          </cell>
          <cell r="BN197">
            <v>325</v>
          </cell>
          <cell r="BO197">
            <v>72</v>
          </cell>
          <cell r="BP197">
            <v>76</v>
          </cell>
          <cell r="BQ197">
            <v>69</v>
          </cell>
        </row>
        <row r="198">
          <cell r="A198">
            <v>405</v>
          </cell>
          <cell r="B198" t="str">
            <v>405 - Lyons</v>
          </cell>
          <cell r="C198" t="str">
            <v>Rice</v>
          </cell>
          <cell r="D198">
            <v>57020317</v>
          </cell>
          <cell r="E198">
            <v>49857107</v>
          </cell>
          <cell r="F198">
            <v>55598012</v>
          </cell>
          <cell r="G198">
            <v>44647352</v>
          </cell>
          <cell r="H198">
            <v>731</v>
          </cell>
          <cell r="I198">
            <v>695.9</v>
          </cell>
          <cell r="J198">
            <v>116</v>
          </cell>
          <cell r="K198">
            <v>7919643</v>
          </cell>
          <cell r="L198">
            <v>757.7</v>
          </cell>
          <cell r="M198">
            <v>738.5</v>
          </cell>
          <cell r="N198">
            <v>705.9</v>
          </cell>
          <cell r="O198">
            <v>685.1</v>
          </cell>
          <cell r="P198">
            <v>833121</v>
          </cell>
          <cell r="Q198">
            <v>908948</v>
          </cell>
          <cell r="R198">
            <v>1413140</v>
          </cell>
          <cell r="S198">
            <v>845087</v>
          </cell>
          <cell r="T198">
            <v>0</v>
          </cell>
          <cell r="U198">
            <v>0</v>
          </cell>
          <cell r="V198">
            <v>0.05</v>
          </cell>
          <cell r="W198">
            <v>0.52</v>
          </cell>
          <cell r="X198">
            <v>460</v>
          </cell>
          <cell r="Y198">
            <v>39</v>
          </cell>
          <cell r="Z198">
            <v>0.51</v>
          </cell>
          <cell r="AA198">
            <v>0</v>
          </cell>
          <cell r="AB198">
            <v>0.51519999999999999</v>
          </cell>
          <cell r="AC198">
            <v>1184026</v>
          </cell>
          <cell r="AD198">
            <v>1123489</v>
          </cell>
          <cell r="AE198">
            <v>1123489</v>
          </cell>
          <cell r="AF198">
            <v>757.7</v>
          </cell>
          <cell r="AG198">
            <v>738.5</v>
          </cell>
          <cell r="AH198">
            <v>705.9</v>
          </cell>
          <cell r="AI198">
            <v>685.1</v>
          </cell>
          <cell r="AJ198">
            <v>0</v>
          </cell>
          <cell r="AM198">
            <v>0</v>
          </cell>
          <cell r="AN198">
            <v>0</v>
          </cell>
          <cell r="AO198">
            <v>671.6</v>
          </cell>
          <cell r="AQ198">
            <v>0</v>
          </cell>
          <cell r="AT198">
            <v>0</v>
          </cell>
          <cell r="AU198">
            <v>0</v>
          </cell>
          <cell r="AV198">
            <v>6785268</v>
          </cell>
          <cell r="AW198">
            <v>234612</v>
          </cell>
          <cell r="AX198">
            <v>232463</v>
          </cell>
          <cell r="AY198">
            <v>1307702</v>
          </cell>
          <cell r="AZ198">
            <v>1</v>
          </cell>
          <cell r="BA198">
            <v>1</v>
          </cell>
          <cell r="BB198">
            <v>64970</v>
          </cell>
          <cell r="BC198">
            <v>65250</v>
          </cell>
          <cell r="BE198">
            <v>7010471</v>
          </cell>
          <cell r="BF198">
            <v>7353</v>
          </cell>
          <cell r="BG198">
            <v>9428</v>
          </cell>
          <cell r="BH198">
            <v>33</v>
          </cell>
          <cell r="BI198">
            <v>56425344</v>
          </cell>
          <cell r="BJ198">
            <v>54860385</v>
          </cell>
          <cell r="BL198">
            <v>392</v>
          </cell>
          <cell r="BM198">
            <v>471</v>
          </cell>
          <cell r="BN198">
            <v>464</v>
          </cell>
          <cell r="BO198">
            <v>72</v>
          </cell>
          <cell r="BP198">
            <v>75</v>
          </cell>
          <cell r="BQ198">
            <v>39</v>
          </cell>
        </row>
        <row r="199">
          <cell r="A199">
            <v>407</v>
          </cell>
          <cell r="B199" t="str">
            <v>407 - Russell County</v>
          </cell>
          <cell r="C199" t="str">
            <v>Russell</v>
          </cell>
          <cell r="D199">
            <v>83031599</v>
          </cell>
          <cell r="E199">
            <v>71197720</v>
          </cell>
          <cell r="F199">
            <v>83264585</v>
          </cell>
          <cell r="G199">
            <v>64804599</v>
          </cell>
          <cell r="H199">
            <v>747.3</v>
          </cell>
          <cell r="I199">
            <v>753</v>
          </cell>
          <cell r="J199">
            <v>489</v>
          </cell>
          <cell r="K199">
            <v>7667952</v>
          </cell>
          <cell r="L199">
            <v>799</v>
          </cell>
          <cell r="M199">
            <v>757.3</v>
          </cell>
          <cell r="N199">
            <v>762.5</v>
          </cell>
          <cell r="O199">
            <v>744.2</v>
          </cell>
          <cell r="P199">
            <v>1013038</v>
          </cell>
          <cell r="Q199">
            <v>1005563</v>
          </cell>
          <cell r="R199">
            <v>929511</v>
          </cell>
          <cell r="S199">
            <v>833131</v>
          </cell>
          <cell r="T199">
            <v>0</v>
          </cell>
          <cell r="U199">
            <v>0</v>
          </cell>
          <cell r="V199">
            <v>0</v>
          </cell>
          <cell r="W199">
            <v>0.21</v>
          </cell>
          <cell r="X199">
            <v>322</v>
          </cell>
          <cell r="Y199">
            <v>63</v>
          </cell>
          <cell r="Z199">
            <v>0.2</v>
          </cell>
          <cell r="AA199">
            <v>0</v>
          </cell>
          <cell r="AB199">
            <v>0.32350000000000001</v>
          </cell>
          <cell r="AC199">
            <v>921031</v>
          </cell>
          <cell r="AD199">
            <v>733158</v>
          </cell>
          <cell r="AE199">
            <v>733158</v>
          </cell>
          <cell r="AF199">
            <v>799</v>
          </cell>
          <cell r="AG199">
            <v>757.3</v>
          </cell>
          <cell r="AH199">
            <v>762.5</v>
          </cell>
          <cell r="AI199">
            <v>744.2</v>
          </cell>
          <cell r="AJ199">
            <v>0</v>
          </cell>
          <cell r="AM199">
            <v>6</v>
          </cell>
          <cell r="AN199">
            <v>0</v>
          </cell>
          <cell r="AO199">
            <v>733.7</v>
          </cell>
          <cell r="AQ199">
            <v>0</v>
          </cell>
          <cell r="AT199">
            <v>0</v>
          </cell>
          <cell r="AU199">
            <v>0</v>
          </cell>
          <cell r="AV199">
            <v>6593321</v>
          </cell>
          <cell r="AW199">
            <v>132838</v>
          </cell>
          <cell r="AX199">
            <v>151597</v>
          </cell>
          <cell r="AY199">
            <v>1001407</v>
          </cell>
          <cell r="AZ199">
            <v>1</v>
          </cell>
          <cell r="BA199">
            <v>1</v>
          </cell>
          <cell r="BB199">
            <v>0</v>
          </cell>
          <cell r="BC199">
            <v>0</v>
          </cell>
          <cell r="BE199">
            <v>6656826</v>
          </cell>
          <cell r="BF199">
            <v>2579</v>
          </cell>
          <cell r="BG199">
            <v>2147</v>
          </cell>
          <cell r="BH199">
            <v>33</v>
          </cell>
          <cell r="BI199">
            <v>83023996</v>
          </cell>
          <cell r="BJ199">
            <v>82389742</v>
          </cell>
          <cell r="BL199">
            <v>317</v>
          </cell>
          <cell r="BM199">
            <v>365</v>
          </cell>
          <cell r="BN199">
            <v>348</v>
          </cell>
          <cell r="BO199">
            <v>134</v>
          </cell>
          <cell r="BP199">
            <v>74</v>
          </cell>
          <cell r="BQ199">
            <v>68</v>
          </cell>
        </row>
        <row r="200">
          <cell r="A200">
            <v>408</v>
          </cell>
          <cell r="B200" t="str">
            <v>408 - Marion-Florence</v>
          </cell>
          <cell r="C200" t="str">
            <v>Marion</v>
          </cell>
          <cell r="D200">
            <v>49389813</v>
          </cell>
          <cell r="E200">
            <v>41801192</v>
          </cell>
          <cell r="F200">
            <v>52207934</v>
          </cell>
          <cell r="G200">
            <v>40179994</v>
          </cell>
          <cell r="H200">
            <v>489.5</v>
          </cell>
          <cell r="I200">
            <v>480.1</v>
          </cell>
          <cell r="J200">
            <v>237</v>
          </cell>
          <cell r="K200">
            <v>5628762</v>
          </cell>
          <cell r="L200">
            <v>500.7</v>
          </cell>
          <cell r="M200">
            <v>497.2</v>
          </cell>
          <cell r="N200">
            <v>503</v>
          </cell>
          <cell r="O200">
            <v>497.2</v>
          </cell>
          <cell r="P200">
            <v>747918</v>
          </cell>
          <cell r="Q200">
            <v>858840</v>
          </cell>
          <cell r="R200">
            <v>706020</v>
          </cell>
          <cell r="S200">
            <v>733262</v>
          </cell>
          <cell r="T200">
            <v>0</v>
          </cell>
          <cell r="U200">
            <v>4792</v>
          </cell>
          <cell r="V200">
            <v>0</v>
          </cell>
          <cell r="W200">
            <v>0.28000000000000003</v>
          </cell>
          <cell r="X200">
            <v>206</v>
          </cell>
          <cell r="Y200">
            <v>34</v>
          </cell>
          <cell r="Z200">
            <v>0.27</v>
          </cell>
          <cell r="AA200">
            <v>0</v>
          </cell>
          <cell r="AB200">
            <v>0.38219999999999998</v>
          </cell>
          <cell r="AC200">
            <v>538426</v>
          </cell>
          <cell r="AD200">
            <v>493336</v>
          </cell>
          <cell r="AE200">
            <v>493336</v>
          </cell>
          <cell r="AF200">
            <v>494.5</v>
          </cell>
          <cell r="AG200">
            <v>491.5</v>
          </cell>
          <cell r="AH200">
            <v>491.6</v>
          </cell>
          <cell r="AI200">
            <v>482</v>
          </cell>
          <cell r="AJ200">
            <v>0</v>
          </cell>
          <cell r="AM200">
            <v>7</v>
          </cell>
          <cell r="AN200">
            <v>0</v>
          </cell>
          <cell r="AO200">
            <v>475.5</v>
          </cell>
          <cell r="AQ200">
            <v>0</v>
          </cell>
          <cell r="AT200">
            <v>0</v>
          </cell>
          <cell r="AU200">
            <v>0</v>
          </cell>
          <cell r="AV200">
            <v>4583679</v>
          </cell>
          <cell r="AW200">
            <v>117569</v>
          </cell>
          <cell r="AX200">
            <v>145092</v>
          </cell>
          <cell r="AY200">
            <v>683151</v>
          </cell>
          <cell r="AZ200">
            <v>1</v>
          </cell>
          <cell r="BA200">
            <v>1</v>
          </cell>
          <cell r="BB200">
            <v>0</v>
          </cell>
          <cell r="BC200">
            <v>0</v>
          </cell>
          <cell r="BE200">
            <v>4769760</v>
          </cell>
          <cell r="BF200">
            <v>1356</v>
          </cell>
          <cell r="BG200">
            <v>2123</v>
          </cell>
          <cell r="BH200">
            <v>33</v>
          </cell>
          <cell r="BI200">
            <v>49042480</v>
          </cell>
          <cell r="BJ200">
            <v>51844438</v>
          </cell>
          <cell r="BL200">
            <v>144</v>
          </cell>
          <cell r="BM200">
            <v>201</v>
          </cell>
          <cell r="BN200">
            <v>210</v>
          </cell>
          <cell r="BO200">
            <v>50</v>
          </cell>
          <cell r="BP200">
            <v>34</v>
          </cell>
          <cell r="BQ200">
            <v>27</v>
          </cell>
        </row>
        <row r="201">
          <cell r="A201">
            <v>409</v>
          </cell>
          <cell r="B201" t="str">
            <v>409 - Atchison Public Schools</v>
          </cell>
          <cell r="C201" t="str">
            <v>Atchison</v>
          </cell>
          <cell r="D201">
            <v>118323309</v>
          </cell>
          <cell r="E201">
            <v>99537283</v>
          </cell>
          <cell r="F201">
            <v>128215593</v>
          </cell>
          <cell r="G201">
            <v>97166509</v>
          </cell>
          <cell r="H201">
            <v>1446.5</v>
          </cell>
          <cell r="I201">
            <v>1413.5</v>
          </cell>
          <cell r="J201">
            <v>52.7</v>
          </cell>
          <cell r="K201">
            <v>12951411</v>
          </cell>
          <cell r="L201">
            <v>1534.1</v>
          </cell>
          <cell r="M201">
            <v>1461.5</v>
          </cell>
          <cell r="N201">
            <v>1430.8</v>
          </cell>
          <cell r="O201">
            <v>1404.5</v>
          </cell>
          <cell r="P201">
            <v>1596363</v>
          </cell>
          <cell r="Q201">
            <v>1760028</v>
          </cell>
          <cell r="R201">
            <v>2255285</v>
          </cell>
          <cell r="S201">
            <v>1734681</v>
          </cell>
          <cell r="T201">
            <v>494</v>
          </cell>
          <cell r="U201">
            <v>147</v>
          </cell>
          <cell r="V201">
            <v>0</v>
          </cell>
          <cell r="W201">
            <v>0.44</v>
          </cell>
          <cell r="X201">
            <v>753</v>
          </cell>
          <cell r="Y201">
            <v>140</v>
          </cell>
          <cell r="Z201">
            <v>0.43</v>
          </cell>
          <cell r="AA201">
            <v>0</v>
          </cell>
          <cell r="AB201">
            <v>0.49830000000000002</v>
          </cell>
          <cell r="AC201">
            <v>1799302</v>
          </cell>
          <cell r="AD201">
            <v>1730554</v>
          </cell>
          <cell r="AE201">
            <v>1730554</v>
          </cell>
          <cell r="AF201">
            <v>1531.1</v>
          </cell>
          <cell r="AG201">
            <v>1461.5</v>
          </cell>
          <cell r="AH201">
            <v>1430.8</v>
          </cell>
          <cell r="AI201">
            <v>1404</v>
          </cell>
          <cell r="AJ201">
            <v>0</v>
          </cell>
          <cell r="AM201">
            <v>2</v>
          </cell>
          <cell r="AN201">
            <v>0</v>
          </cell>
          <cell r="AO201">
            <v>1387</v>
          </cell>
          <cell r="AQ201">
            <v>0</v>
          </cell>
          <cell r="AT201">
            <v>0</v>
          </cell>
          <cell r="AU201">
            <v>0</v>
          </cell>
          <cell r="AV201">
            <v>11096162</v>
          </cell>
          <cell r="AW201">
            <v>299005</v>
          </cell>
          <cell r="AX201">
            <v>300828</v>
          </cell>
          <cell r="AY201">
            <v>2313516</v>
          </cell>
          <cell r="AZ201">
            <v>1</v>
          </cell>
          <cell r="BA201">
            <v>1</v>
          </cell>
          <cell r="BB201">
            <v>0</v>
          </cell>
          <cell r="BC201">
            <v>0</v>
          </cell>
          <cell r="BE201">
            <v>11191383</v>
          </cell>
          <cell r="BF201">
            <v>3442</v>
          </cell>
          <cell r="BG201">
            <v>2247</v>
          </cell>
          <cell r="BH201">
            <v>33</v>
          </cell>
          <cell r="BI201">
            <v>115025074</v>
          </cell>
          <cell r="BJ201">
            <v>123391385</v>
          </cell>
          <cell r="BL201">
            <v>767</v>
          </cell>
          <cell r="BM201">
            <v>855</v>
          </cell>
          <cell r="BN201">
            <v>840</v>
          </cell>
          <cell r="BO201">
            <v>208</v>
          </cell>
          <cell r="BP201">
            <v>105</v>
          </cell>
          <cell r="BQ201">
            <v>104</v>
          </cell>
        </row>
        <row r="202">
          <cell r="A202">
            <v>410</v>
          </cell>
          <cell r="B202" t="str">
            <v>410 - Durham-Hillsboro-Lehigh</v>
          </cell>
          <cell r="C202" t="str">
            <v>Marion</v>
          </cell>
          <cell r="D202">
            <v>48535016</v>
          </cell>
          <cell r="E202">
            <v>41438254</v>
          </cell>
          <cell r="F202">
            <v>50926011</v>
          </cell>
          <cell r="G202">
            <v>39391389</v>
          </cell>
          <cell r="H202">
            <v>585</v>
          </cell>
          <cell r="I202">
            <v>575.70000000000005</v>
          </cell>
          <cell r="J202">
            <v>231.8</v>
          </cell>
          <cell r="K202">
            <v>6370108</v>
          </cell>
          <cell r="L202">
            <v>577.4</v>
          </cell>
          <cell r="M202">
            <v>609.29999999999995</v>
          </cell>
          <cell r="N202">
            <v>598.1</v>
          </cell>
          <cell r="O202">
            <v>582.1</v>
          </cell>
          <cell r="P202">
            <v>907127</v>
          </cell>
          <cell r="Q202">
            <v>1038160</v>
          </cell>
          <cell r="R202">
            <v>1061381</v>
          </cell>
          <cell r="S202">
            <v>785523</v>
          </cell>
          <cell r="T202">
            <v>0</v>
          </cell>
          <cell r="U202">
            <v>0</v>
          </cell>
          <cell r="V202">
            <v>0</v>
          </cell>
          <cell r="W202">
            <v>0.46</v>
          </cell>
          <cell r="X202">
            <v>192</v>
          </cell>
          <cell r="Y202">
            <v>40</v>
          </cell>
          <cell r="Z202">
            <v>0.45</v>
          </cell>
          <cell r="AA202">
            <v>0</v>
          </cell>
          <cell r="AB202">
            <v>0.49830000000000002</v>
          </cell>
          <cell r="AC202">
            <v>563441</v>
          </cell>
          <cell r="AD202">
            <v>552068</v>
          </cell>
          <cell r="AE202">
            <v>552068</v>
          </cell>
          <cell r="AF202">
            <v>570.5</v>
          </cell>
          <cell r="AG202">
            <v>598</v>
          </cell>
          <cell r="AH202">
            <v>586.20000000000005</v>
          </cell>
          <cell r="AI202">
            <v>568.29999999999995</v>
          </cell>
          <cell r="AJ202">
            <v>0</v>
          </cell>
          <cell r="AM202">
            <v>0</v>
          </cell>
          <cell r="AN202">
            <v>0</v>
          </cell>
          <cell r="AO202">
            <v>556.29999999999995</v>
          </cell>
          <cell r="AQ202">
            <v>0</v>
          </cell>
          <cell r="AT202">
            <v>0</v>
          </cell>
          <cell r="AU202">
            <v>0</v>
          </cell>
          <cell r="AV202">
            <v>5181834</v>
          </cell>
          <cell r="AW202">
            <v>194955</v>
          </cell>
          <cell r="AX202">
            <v>212944</v>
          </cell>
          <cell r="AY202">
            <v>990899</v>
          </cell>
          <cell r="AZ202">
            <v>1</v>
          </cell>
          <cell r="BA202">
            <v>1</v>
          </cell>
          <cell r="BB202">
            <v>109610</v>
          </cell>
          <cell r="BC202">
            <v>109610</v>
          </cell>
          <cell r="BE202">
            <v>5331808</v>
          </cell>
          <cell r="BF202">
            <v>3541</v>
          </cell>
          <cell r="BG202">
            <v>2499</v>
          </cell>
          <cell r="BH202">
            <v>33</v>
          </cell>
          <cell r="BI202">
            <v>47974971</v>
          </cell>
          <cell r="BJ202">
            <v>50247833</v>
          </cell>
          <cell r="BL202">
            <v>133</v>
          </cell>
          <cell r="BM202">
            <v>215</v>
          </cell>
          <cell r="BN202">
            <v>225</v>
          </cell>
          <cell r="BO202">
            <v>65</v>
          </cell>
          <cell r="BP202">
            <v>50</v>
          </cell>
          <cell r="BQ202">
            <v>38</v>
          </cell>
        </row>
        <row r="203">
          <cell r="A203">
            <v>411</v>
          </cell>
          <cell r="B203" t="str">
            <v>411 - Goessel</v>
          </cell>
          <cell r="C203" t="str">
            <v>Marion</v>
          </cell>
          <cell r="D203">
            <v>18950773</v>
          </cell>
          <cell r="E203">
            <v>16014376</v>
          </cell>
          <cell r="F203">
            <v>19606790</v>
          </cell>
          <cell r="G203">
            <v>14577616</v>
          </cell>
          <cell r="H203">
            <v>269</v>
          </cell>
          <cell r="I203">
            <v>266</v>
          </cell>
          <cell r="J203">
            <v>111.2</v>
          </cell>
          <cell r="K203">
            <v>2999848</v>
          </cell>
          <cell r="L203">
            <v>283</v>
          </cell>
          <cell r="M203">
            <v>276</v>
          </cell>
          <cell r="N203">
            <v>273.5</v>
          </cell>
          <cell r="O203">
            <v>259.60000000000002</v>
          </cell>
          <cell r="P203">
            <v>397031</v>
          </cell>
          <cell r="Q203">
            <v>438767</v>
          </cell>
          <cell r="R203">
            <v>587811</v>
          </cell>
          <cell r="S203">
            <v>323216</v>
          </cell>
          <cell r="T203">
            <v>0</v>
          </cell>
          <cell r="U203">
            <v>0</v>
          </cell>
          <cell r="V203">
            <v>0.11</v>
          </cell>
          <cell r="W203">
            <v>0.57999999999999996</v>
          </cell>
          <cell r="X203">
            <v>58</v>
          </cell>
          <cell r="Y203">
            <v>21</v>
          </cell>
          <cell r="Z203">
            <v>0.56999999999999995</v>
          </cell>
          <cell r="AA203">
            <v>0.02</v>
          </cell>
          <cell r="AB203">
            <v>0.56889999999999996</v>
          </cell>
          <cell r="AC203">
            <v>283649</v>
          </cell>
          <cell r="AD203">
            <v>263261</v>
          </cell>
          <cell r="AE203">
            <v>263261</v>
          </cell>
          <cell r="AF203">
            <v>283</v>
          </cell>
          <cell r="AG203">
            <v>276</v>
          </cell>
          <cell r="AH203">
            <v>273.5</v>
          </cell>
          <cell r="AI203">
            <v>259.60000000000002</v>
          </cell>
          <cell r="AJ203">
            <v>0</v>
          </cell>
          <cell r="AM203">
            <v>0</v>
          </cell>
          <cell r="AN203">
            <v>0</v>
          </cell>
          <cell r="AO203">
            <v>256.60000000000002</v>
          </cell>
          <cell r="AQ203">
            <v>0</v>
          </cell>
          <cell r="AT203">
            <v>0</v>
          </cell>
          <cell r="AU203">
            <v>0</v>
          </cell>
          <cell r="AV203">
            <v>2531064</v>
          </cell>
          <cell r="AW203">
            <v>91197</v>
          </cell>
          <cell r="AX203">
            <v>100192</v>
          </cell>
          <cell r="AY203">
            <v>577020</v>
          </cell>
          <cell r="AZ203">
            <v>1</v>
          </cell>
          <cell r="BA203">
            <v>1</v>
          </cell>
          <cell r="BB203">
            <v>0</v>
          </cell>
          <cell r="BC203">
            <v>0</v>
          </cell>
          <cell r="BE203">
            <v>2561055</v>
          </cell>
          <cell r="BF203">
            <v>1478</v>
          </cell>
          <cell r="BG203">
            <v>1395</v>
          </cell>
          <cell r="BH203">
            <v>33</v>
          </cell>
          <cell r="BI203">
            <v>18708915</v>
          </cell>
          <cell r="BJ203">
            <v>19279705</v>
          </cell>
          <cell r="BL203">
            <v>44</v>
          </cell>
          <cell r="BM203">
            <v>69</v>
          </cell>
          <cell r="BN203">
            <v>62</v>
          </cell>
          <cell r="BO203">
            <v>36</v>
          </cell>
          <cell r="BP203">
            <v>28</v>
          </cell>
          <cell r="BQ203">
            <v>32</v>
          </cell>
        </row>
        <row r="204">
          <cell r="A204">
            <v>412</v>
          </cell>
          <cell r="B204" t="str">
            <v>412 - Hoxie Community Schools</v>
          </cell>
          <cell r="C204" t="str">
            <v>Sheridan</v>
          </cell>
          <cell r="D204">
            <v>59600853</v>
          </cell>
          <cell r="E204">
            <v>55152033</v>
          </cell>
          <cell r="F204">
            <v>59121752</v>
          </cell>
          <cell r="G204">
            <v>52093652</v>
          </cell>
          <cell r="H204">
            <v>413.2</v>
          </cell>
          <cell r="I204">
            <v>395.5</v>
          </cell>
          <cell r="J204">
            <v>674</v>
          </cell>
          <cell r="K204">
            <v>4138909</v>
          </cell>
          <cell r="L204">
            <v>405.3</v>
          </cell>
          <cell r="M204">
            <v>413.2</v>
          </cell>
          <cell r="N204">
            <v>401.5</v>
          </cell>
          <cell r="O204">
            <v>391.6</v>
          </cell>
          <cell r="P204">
            <v>361550</v>
          </cell>
          <cell r="Q204">
            <v>389028</v>
          </cell>
          <cell r="R204">
            <v>107039</v>
          </cell>
          <cell r="S204">
            <v>373688</v>
          </cell>
          <cell r="T204">
            <v>12661</v>
          </cell>
          <cell r="U204">
            <v>13554</v>
          </cell>
          <cell r="V204">
            <v>0</v>
          </cell>
          <cell r="W204">
            <v>0</v>
          </cell>
          <cell r="X204">
            <v>108</v>
          </cell>
          <cell r="Y204">
            <v>39</v>
          </cell>
          <cell r="Z204">
            <v>0</v>
          </cell>
          <cell r="AA204">
            <v>0</v>
          </cell>
          <cell r="AB204">
            <v>9.3700000000000006E-2</v>
          </cell>
          <cell r="AC204">
            <v>422423</v>
          </cell>
          <cell r="AD204">
            <v>422259</v>
          </cell>
          <cell r="AE204">
            <v>422259</v>
          </cell>
          <cell r="AF204">
            <v>405.3</v>
          </cell>
          <cell r="AG204">
            <v>413.2</v>
          </cell>
          <cell r="AH204">
            <v>401.5</v>
          </cell>
          <cell r="AI204">
            <v>391.6</v>
          </cell>
          <cell r="AJ204">
            <v>0</v>
          </cell>
          <cell r="AM204">
            <v>0</v>
          </cell>
          <cell r="AN204">
            <v>0</v>
          </cell>
          <cell r="AO204">
            <v>384.1</v>
          </cell>
          <cell r="AQ204">
            <v>0</v>
          </cell>
          <cell r="AT204">
            <v>0</v>
          </cell>
          <cell r="AU204">
            <v>0</v>
          </cell>
          <cell r="AV204">
            <v>3539941</v>
          </cell>
          <cell r="AW204">
            <v>0</v>
          </cell>
          <cell r="AX204">
            <v>0</v>
          </cell>
          <cell r="AY204">
            <v>60086</v>
          </cell>
          <cell r="AZ204">
            <v>1</v>
          </cell>
          <cell r="BA204">
            <v>1</v>
          </cell>
          <cell r="BB204">
            <v>0</v>
          </cell>
          <cell r="BC204">
            <v>0</v>
          </cell>
          <cell r="BE204">
            <v>3740384</v>
          </cell>
          <cell r="BF204">
            <v>0</v>
          </cell>
          <cell r="BG204">
            <v>0</v>
          </cell>
          <cell r="BH204">
            <v>33</v>
          </cell>
          <cell r="BI204">
            <v>59600853</v>
          </cell>
          <cell r="BJ204">
            <v>57986602</v>
          </cell>
          <cell r="BL204">
            <v>86</v>
          </cell>
          <cell r="BM204">
            <v>102</v>
          </cell>
          <cell r="BN204">
            <v>104</v>
          </cell>
          <cell r="BO204">
            <v>37</v>
          </cell>
          <cell r="BP204">
            <v>38</v>
          </cell>
          <cell r="BQ204">
            <v>39</v>
          </cell>
        </row>
        <row r="205">
          <cell r="A205">
            <v>413</v>
          </cell>
          <cell r="B205" t="str">
            <v>413 - Chanute Public Schools</v>
          </cell>
          <cell r="C205" t="str">
            <v>Neosho</v>
          </cell>
          <cell r="D205">
            <v>98743955</v>
          </cell>
          <cell r="E205">
            <v>80384527</v>
          </cell>
          <cell r="F205">
            <v>97598784</v>
          </cell>
          <cell r="G205">
            <v>70520376</v>
          </cell>
          <cell r="H205">
            <v>1697.5</v>
          </cell>
          <cell r="I205">
            <v>1648.6</v>
          </cell>
          <cell r="J205">
            <v>125</v>
          </cell>
          <cell r="K205">
            <v>15552801</v>
          </cell>
          <cell r="L205">
            <v>1672.2</v>
          </cell>
          <cell r="M205">
            <v>1732.5</v>
          </cell>
          <cell r="N205">
            <v>1687.6</v>
          </cell>
          <cell r="O205">
            <v>1620.3</v>
          </cell>
          <cell r="P205">
            <v>2010455</v>
          </cell>
          <cell r="Q205">
            <v>2362355</v>
          </cell>
          <cell r="R205">
            <v>3457377</v>
          </cell>
          <cell r="S205">
            <v>2137449</v>
          </cell>
          <cell r="T205">
            <v>7937</v>
          </cell>
          <cell r="U205">
            <v>112</v>
          </cell>
          <cell r="V205">
            <v>0.26</v>
          </cell>
          <cell r="W205">
            <v>0.74</v>
          </cell>
          <cell r="X205">
            <v>887</v>
          </cell>
          <cell r="Y205">
            <v>138</v>
          </cell>
          <cell r="Z205">
            <v>0.73</v>
          </cell>
          <cell r="AA205">
            <v>0.18</v>
          </cell>
          <cell r="AB205">
            <v>0.65939999999999999</v>
          </cell>
          <cell r="AC205">
            <v>1620566</v>
          </cell>
          <cell r="AD205">
            <v>1494433</v>
          </cell>
          <cell r="AE205">
            <v>1494433</v>
          </cell>
          <cell r="AF205">
            <v>1672.2</v>
          </cell>
          <cell r="AG205">
            <v>1732.5</v>
          </cell>
          <cell r="AH205">
            <v>1687.6</v>
          </cell>
          <cell r="AI205">
            <v>1612.3</v>
          </cell>
          <cell r="AJ205">
            <v>0</v>
          </cell>
          <cell r="AM205">
            <v>19</v>
          </cell>
          <cell r="AN205">
            <v>0</v>
          </cell>
          <cell r="AO205">
            <v>1571.8</v>
          </cell>
          <cell r="AQ205">
            <v>0</v>
          </cell>
          <cell r="AT205">
            <v>0</v>
          </cell>
          <cell r="AU205">
            <v>0</v>
          </cell>
          <cell r="AV205">
            <v>12742906</v>
          </cell>
          <cell r="AW205">
            <v>589184</v>
          </cell>
          <cell r="AX205">
            <v>574647</v>
          </cell>
          <cell r="AY205">
            <v>3234260</v>
          </cell>
          <cell r="AZ205">
            <v>1</v>
          </cell>
          <cell r="BA205">
            <v>1</v>
          </cell>
          <cell r="BB205">
            <v>0</v>
          </cell>
          <cell r="BC205">
            <v>0</v>
          </cell>
          <cell r="BE205">
            <v>13190422</v>
          </cell>
          <cell r="BF205">
            <v>10545</v>
          </cell>
          <cell r="BG205">
            <v>6852</v>
          </cell>
          <cell r="BH205">
            <v>33</v>
          </cell>
          <cell r="BI205">
            <v>95658685</v>
          </cell>
          <cell r="BJ205">
            <v>94514285</v>
          </cell>
          <cell r="BL205">
            <v>783</v>
          </cell>
          <cell r="BM205">
            <v>1011</v>
          </cell>
          <cell r="BN205">
            <v>944</v>
          </cell>
          <cell r="BO205">
            <v>313</v>
          </cell>
          <cell r="BP205">
            <v>162</v>
          </cell>
          <cell r="BQ205">
            <v>144</v>
          </cell>
        </row>
        <row r="206">
          <cell r="A206">
            <v>415</v>
          </cell>
          <cell r="B206" t="str">
            <v>415 - Hiawatha</v>
          </cell>
          <cell r="C206" t="str">
            <v>Brown</v>
          </cell>
          <cell r="D206">
            <v>149010916</v>
          </cell>
          <cell r="E206">
            <v>138163219</v>
          </cell>
          <cell r="F206">
            <v>152317150</v>
          </cell>
          <cell r="G206">
            <v>133987068</v>
          </cell>
          <cell r="H206">
            <v>855</v>
          </cell>
          <cell r="I206">
            <v>847.5</v>
          </cell>
          <cell r="J206">
            <v>331</v>
          </cell>
          <cell r="K206">
            <v>8560629</v>
          </cell>
          <cell r="L206">
            <v>905.7</v>
          </cell>
          <cell r="M206">
            <v>870.3</v>
          </cell>
          <cell r="N206">
            <v>856.8</v>
          </cell>
          <cell r="O206">
            <v>845.8</v>
          </cell>
          <cell r="P206">
            <v>951088</v>
          </cell>
          <cell r="Q206">
            <v>992118</v>
          </cell>
          <cell r="R206">
            <v>0</v>
          </cell>
          <cell r="S206">
            <v>976775</v>
          </cell>
          <cell r="T206">
            <v>83048</v>
          </cell>
          <cell r="U206">
            <v>13736</v>
          </cell>
          <cell r="V206">
            <v>0</v>
          </cell>
          <cell r="W206">
            <v>0</v>
          </cell>
          <cell r="X206">
            <v>398</v>
          </cell>
          <cell r="Y206">
            <v>82</v>
          </cell>
          <cell r="Z206">
            <v>0</v>
          </cell>
          <cell r="AA206">
            <v>0</v>
          </cell>
          <cell r="AB206">
            <v>0</v>
          </cell>
          <cell r="AC206">
            <v>883643</v>
          </cell>
          <cell r="AD206">
            <v>830907</v>
          </cell>
          <cell r="AE206">
            <v>830907</v>
          </cell>
          <cell r="AF206">
            <v>904.5</v>
          </cell>
          <cell r="AG206">
            <v>865.5</v>
          </cell>
          <cell r="AH206">
            <v>854</v>
          </cell>
          <cell r="AI206">
            <v>843.7</v>
          </cell>
          <cell r="AJ206">
            <v>0</v>
          </cell>
          <cell r="AM206">
            <v>2</v>
          </cell>
          <cell r="AN206">
            <v>0</v>
          </cell>
          <cell r="AO206">
            <v>835.7</v>
          </cell>
          <cell r="AQ206">
            <v>0</v>
          </cell>
          <cell r="AT206">
            <v>0</v>
          </cell>
          <cell r="AU206">
            <v>0</v>
          </cell>
          <cell r="AV206">
            <v>7494947</v>
          </cell>
          <cell r="AW206">
            <v>0</v>
          </cell>
          <cell r="AX206">
            <v>0</v>
          </cell>
          <cell r="AY206">
            <v>0</v>
          </cell>
          <cell r="AZ206">
            <v>1</v>
          </cell>
          <cell r="BA206">
            <v>1</v>
          </cell>
          <cell r="BB206">
            <v>0</v>
          </cell>
          <cell r="BC206">
            <v>0</v>
          </cell>
          <cell r="BE206">
            <v>7568511</v>
          </cell>
          <cell r="BF206">
            <v>0</v>
          </cell>
          <cell r="BG206">
            <v>0</v>
          </cell>
          <cell r="BH206">
            <v>33</v>
          </cell>
          <cell r="BI206">
            <v>147843728</v>
          </cell>
          <cell r="BJ206">
            <v>149897017</v>
          </cell>
          <cell r="BL206">
            <v>318</v>
          </cell>
          <cell r="BM206">
            <v>420</v>
          </cell>
          <cell r="BN206">
            <v>413</v>
          </cell>
          <cell r="BO206">
            <v>132</v>
          </cell>
          <cell r="BP206">
            <v>58</v>
          </cell>
          <cell r="BQ206">
            <v>64</v>
          </cell>
        </row>
        <row r="207">
          <cell r="A207">
            <v>416</v>
          </cell>
          <cell r="B207" t="str">
            <v>416 - Louisburg</v>
          </cell>
          <cell r="C207" t="str">
            <v>Miami</v>
          </cell>
          <cell r="D207">
            <v>215667938</v>
          </cell>
          <cell r="E207">
            <v>197943329</v>
          </cell>
          <cell r="F207">
            <v>225396787</v>
          </cell>
          <cell r="G207">
            <v>193737335</v>
          </cell>
          <cell r="H207">
            <v>1688.6</v>
          </cell>
          <cell r="I207">
            <v>1656.7</v>
          </cell>
          <cell r="J207">
            <v>156</v>
          </cell>
          <cell r="K207">
            <v>13040829</v>
          </cell>
          <cell r="L207">
            <v>1696.1</v>
          </cell>
          <cell r="M207">
            <v>1709.7</v>
          </cell>
          <cell r="N207">
            <v>1681.5</v>
          </cell>
          <cell r="O207">
            <v>1658.6</v>
          </cell>
          <cell r="P207">
            <v>1557094</v>
          </cell>
          <cell r="Q207">
            <v>1653889</v>
          </cell>
          <cell r="R207">
            <v>1226906</v>
          </cell>
          <cell r="S207">
            <v>1237349</v>
          </cell>
          <cell r="T207">
            <v>24197</v>
          </cell>
          <cell r="U207">
            <v>24284</v>
          </cell>
          <cell r="V207">
            <v>0</v>
          </cell>
          <cell r="W207">
            <v>0</v>
          </cell>
          <cell r="X207">
            <v>273</v>
          </cell>
          <cell r="Y207">
            <v>75</v>
          </cell>
          <cell r="Z207">
            <v>0</v>
          </cell>
          <cell r="AA207">
            <v>0</v>
          </cell>
          <cell r="AB207">
            <v>0.22339999999999999</v>
          </cell>
          <cell r="AC207">
            <v>1236673</v>
          </cell>
          <cell r="AD207">
            <v>1195213</v>
          </cell>
          <cell r="AE207">
            <v>1195213</v>
          </cell>
          <cell r="AF207">
            <v>1672</v>
          </cell>
          <cell r="AG207">
            <v>1696.6</v>
          </cell>
          <cell r="AH207">
            <v>1663.7</v>
          </cell>
          <cell r="AI207">
            <v>1638.3</v>
          </cell>
          <cell r="AJ207">
            <v>5.0200000000000002E-2</v>
          </cell>
          <cell r="AM207">
            <v>11</v>
          </cell>
          <cell r="AN207">
            <v>0</v>
          </cell>
          <cell r="AO207">
            <v>1626.8</v>
          </cell>
          <cell r="AQ207">
            <v>0</v>
          </cell>
          <cell r="AT207">
            <v>0</v>
          </cell>
          <cell r="AU207">
            <v>0</v>
          </cell>
          <cell r="AV207">
            <v>10940615</v>
          </cell>
          <cell r="AW207">
            <v>276055</v>
          </cell>
          <cell r="AX207">
            <v>72064</v>
          </cell>
          <cell r="AY207">
            <v>1369659</v>
          </cell>
          <cell r="AZ207">
            <v>1</v>
          </cell>
          <cell r="BA207">
            <v>1</v>
          </cell>
          <cell r="BB207">
            <v>0</v>
          </cell>
          <cell r="BC207">
            <v>0</v>
          </cell>
          <cell r="BE207">
            <v>11386940</v>
          </cell>
          <cell r="BF207">
            <v>6673</v>
          </cell>
          <cell r="BG207">
            <v>4934</v>
          </cell>
          <cell r="BH207">
            <v>33</v>
          </cell>
          <cell r="BI207">
            <v>215667938</v>
          </cell>
          <cell r="BJ207">
            <v>225396787</v>
          </cell>
          <cell r="BL207">
            <v>163</v>
          </cell>
          <cell r="BM207">
            <v>282</v>
          </cell>
          <cell r="BN207">
            <v>304</v>
          </cell>
          <cell r="BO207">
            <v>107</v>
          </cell>
          <cell r="BP207">
            <v>106</v>
          </cell>
          <cell r="BQ207">
            <v>75</v>
          </cell>
        </row>
        <row r="208">
          <cell r="A208">
            <v>417</v>
          </cell>
          <cell r="B208" t="str">
            <v>417 - Morris County</v>
          </cell>
          <cell r="C208" t="str">
            <v>Morris</v>
          </cell>
          <cell r="D208">
            <v>77582669</v>
          </cell>
          <cell r="E208">
            <v>64488717</v>
          </cell>
          <cell r="F208">
            <v>79699658</v>
          </cell>
          <cell r="G208">
            <v>58644384</v>
          </cell>
          <cell r="H208">
            <v>747</v>
          </cell>
          <cell r="I208">
            <v>735.5</v>
          </cell>
          <cell r="J208">
            <v>537</v>
          </cell>
          <cell r="K208">
            <v>7861560</v>
          </cell>
          <cell r="L208">
            <v>749.5</v>
          </cell>
          <cell r="M208">
            <v>761.3</v>
          </cell>
          <cell r="N208">
            <v>747.5</v>
          </cell>
          <cell r="O208">
            <v>745.5</v>
          </cell>
          <cell r="P208">
            <v>901019</v>
          </cell>
          <cell r="Q208">
            <v>1011678</v>
          </cell>
          <cell r="R208">
            <v>965901</v>
          </cell>
          <cell r="S208">
            <v>672573</v>
          </cell>
          <cell r="T208">
            <v>7471</v>
          </cell>
          <cell r="U208">
            <v>9701</v>
          </cell>
          <cell r="V208">
            <v>0</v>
          </cell>
          <cell r="W208">
            <v>0.25</v>
          </cell>
          <cell r="X208">
            <v>342</v>
          </cell>
          <cell r="Y208">
            <v>65</v>
          </cell>
          <cell r="Z208">
            <v>0.24</v>
          </cell>
          <cell r="AA208">
            <v>0</v>
          </cell>
          <cell r="AB208">
            <v>0.3599</v>
          </cell>
          <cell r="AC208">
            <v>776809</v>
          </cell>
          <cell r="AD208">
            <v>729055</v>
          </cell>
          <cell r="AE208">
            <v>729055</v>
          </cell>
          <cell r="AF208">
            <v>749.5</v>
          </cell>
          <cell r="AG208">
            <v>760.5</v>
          </cell>
          <cell r="AH208">
            <v>747.5</v>
          </cell>
          <cell r="AI208">
            <v>745.5</v>
          </cell>
          <cell r="AJ208">
            <v>0</v>
          </cell>
          <cell r="AM208">
            <v>28</v>
          </cell>
          <cell r="AN208">
            <v>0</v>
          </cell>
          <cell r="AO208">
            <v>736</v>
          </cell>
          <cell r="AQ208">
            <v>0</v>
          </cell>
          <cell r="AT208">
            <v>0</v>
          </cell>
          <cell r="AU208">
            <v>0</v>
          </cell>
          <cell r="AV208">
            <v>6656204</v>
          </cell>
          <cell r="AW208">
            <v>172900</v>
          </cell>
          <cell r="AX208">
            <v>190584</v>
          </cell>
          <cell r="AY208">
            <v>928288</v>
          </cell>
          <cell r="AZ208">
            <v>1</v>
          </cell>
          <cell r="BA208">
            <v>1</v>
          </cell>
          <cell r="BB208">
            <v>0</v>
          </cell>
          <cell r="BC208">
            <v>0</v>
          </cell>
          <cell r="BE208">
            <v>6849882</v>
          </cell>
          <cell r="BF208">
            <v>4959</v>
          </cell>
          <cell r="BG208">
            <v>4901</v>
          </cell>
          <cell r="BH208">
            <v>33</v>
          </cell>
          <cell r="BI208">
            <v>77332329</v>
          </cell>
          <cell r="BJ208">
            <v>79410067</v>
          </cell>
          <cell r="BL208">
            <v>288</v>
          </cell>
          <cell r="BM208">
            <v>354</v>
          </cell>
          <cell r="BN208">
            <v>371</v>
          </cell>
          <cell r="BO208">
            <v>70</v>
          </cell>
          <cell r="BP208">
            <v>68</v>
          </cell>
          <cell r="BQ208">
            <v>58</v>
          </cell>
        </row>
        <row r="209">
          <cell r="A209">
            <v>418</v>
          </cell>
          <cell r="B209" t="str">
            <v>418 - McPherson</v>
          </cell>
          <cell r="C209" t="str">
            <v>McPherson</v>
          </cell>
          <cell r="D209">
            <v>276857938</v>
          </cell>
          <cell r="E209">
            <v>250135041</v>
          </cell>
          <cell r="F209">
            <v>279637980</v>
          </cell>
          <cell r="G209">
            <v>233932174</v>
          </cell>
          <cell r="H209">
            <v>2200.1999999999998</v>
          </cell>
          <cell r="I209">
            <v>2139</v>
          </cell>
          <cell r="J209">
            <v>156.30000000000001</v>
          </cell>
          <cell r="K209">
            <v>18224886</v>
          </cell>
          <cell r="L209">
            <v>2255.5</v>
          </cell>
          <cell r="M209">
            <v>2235.6999999999998</v>
          </cell>
          <cell r="N209">
            <v>2186.5</v>
          </cell>
          <cell r="O209">
            <v>2078.6999999999998</v>
          </cell>
          <cell r="P209">
            <v>2792118</v>
          </cell>
          <cell r="Q209">
            <v>3020668</v>
          </cell>
          <cell r="R209">
            <v>1350730</v>
          </cell>
          <cell r="S209">
            <v>2296201</v>
          </cell>
          <cell r="T209">
            <v>0</v>
          </cell>
          <cell r="U209">
            <v>0</v>
          </cell>
          <cell r="V209">
            <v>0</v>
          </cell>
          <cell r="W209">
            <v>0</v>
          </cell>
          <cell r="X209">
            <v>770</v>
          </cell>
          <cell r="Y209">
            <v>216</v>
          </cell>
          <cell r="Z209">
            <v>0</v>
          </cell>
          <cell r="AA209">
            <v>0</v>
          </cell>
          <cell r="AB209">
            <v>0.2084</v>
          </cell>
          <cell r="AC209">
            <v>3101224</v>
          </cell>
          <cell r="AD209">
            <v>3015779</v>
          </cell>
          <cell r="AE209">
            <v>3015779</v>
          </cell>
          <cell r="AF209">
            <v>2255.5</v>
          </cell>
          <cell r="AG209">
            <v>2235.6999999999998</v>
          </cell>
          <cell r="AH209">
            <v>2176.5</v>
          </cell>
          <cell r="AI209">
            <v>2039.3</v>
          </cell>
          <cell r="AJ209">
            <v>0</v>
          </cell>
          <cell r="AM209">
            <v>5</v>
          </cell>
          <cell r="AN209">
            <v>0</v>
          </cell>
          <cell r="AO209">
            <v>1999.8</v>
          </cell>
          <cell r="AQ209">
            <v>0</v>
          </cell>
          <cell r="AT209">
            <v>0</v>
          </cell>
          <cell r="AU209">
            <v>0</v>
          </cell>
          <cell r="AV209">
            <v>14693792</v>
          </cell>
          <cell r="AW209">
            <v>0</v>
          </cell>
          <cell r="AX209">
            <v>0</v>
          </cell>
          <cell r="AY209">
            <v>1256615</v>
          </cell>
          <cell r="AZ209">
            <v>1</v>
          </cell>
          <cell r="BA209">
            <v>1</v>
          </cell>
          <cell r="BB209">
            <v>0</v>
          </cell>
          <cell r="BC209">
            <v>0</v>
          </cell>
          <cell r="BE209">
            <v>15192358</v>
          </cell>
          <cell r="BF209">
            <v>2958</v>
          </cell>
          <cell r="BG209">
            <v>6217</v>
          </cell>
          <cell r="BH209">
            <v>33</v>
          </cell>
          <cell r="BI209">
            <v>293953396</v>
          </cell>
          <cell r="BJ209">
            <v>299697581</v>
          </cell>
          <cell r="BL209">
            <v>649</v>
          </cell>
          <cell r="BM209">
            <v>795</v>
          </cell>
          <cell r="BN209">
            <v>858</v>
          </cell>
          <cell r="BO209">
            <v>232</v>
          </cell>
          <cell r="BP209">
            <v>159</v>
          </cell>
          <cell r="BQ209">
            <v>169</v>
          </cell>
        </row>
        <row r="210">
          <cell r="A210">
            <v>419</v>
          </cell>
          <cell r="B210" t="str">
            <v>419 - Canton-Galva</v>
          </cell>
          <cell r="C210" t="str">
            <v>McPherson</v>
          </cell>
          <cell r="D210">
            <v>41090399</v>
          </cell>
          <cell r="E210">
            <v>35765857</v>
          </cell>
          <cell r="F210">
            <v>42116345</v>
          </cell>
          <cell r="G210">
            <v>32984297</v>
          </cell>
          <cell r="H210">
            <v>316.8</v>
          </cell>
          <cell r="I210">
            <v>336.5</v>
          </cell>
          <cell r="J210">
            <v>167.5</v>
          </cell>
          <cell r="K210">
            <v>3744600</v>
          </cell>
          <cell r="L210">
            <v>300.5</v>
          </cell>
          <cell r="M210">
            <v>322.8</v>
          </cell>
          <cell r="N210">
            <v>343</v>
          </cell>
          <cell r="O210">
            <v>348.6</v>
          </cell>
          <cell r="P210">
            <v>368389</v>
          </cell>
          <cell r="Q210">
            <v>430956</v>
          </cell>
          <cell r="R210">
            <v>265375</v>
          </cell>
          <cell r="S210">
            <v>394917</v>
          </cell>
          <cell r="T210">
            <v>10267</v>
          </cell>
          <cell r="U210">
            <v>8331</v>
          </cell>
          <cell r="V210">
            <v>0</v>
          </cell>
          <cell r="W210">
            <v>0.11</v>
          </cell>
          <cell r="X210">
            <v>122</v>
          </cell>
          <cell r="Y210">
            <v>25</v>
          </cell>
          <cell r="Z210">
            <v>0.1</v>
          </cell>
          <cell r="AA210">
            <v>0</v>
          </cell>
          <cell r="AB210">
            <v>0.2457</v>
          </cell>
          <cell r="AC210">
            <v>315966</v>
          </cell>
          <cell r="AD210">
            <v>307330</v>
          </cell>
          <cell r="AE210">
            <v>307330</v>
          </cell>
          <cell r="AF210">
            <v>300.5</v>
          </cell>
          <cell r="AG210">
            <v>322.8</v>
          </cell>
          <cell r="AH210">
            <v>343</v>
          </cell>
          <cell r="AI210">
            <v>348.6</v>
          </cell>
          <cell r="AJ210">
            <v>0</v>
          </cell>
          <cell r="AM210">
            <v>0</v>
          </cell>
          <cell r="AN210">
            <v>0</v>
          </cell>
          <cell r="AO210">
            <v>343.6</v>
          </cell>
          <cell r="AQ210">
            <v>0</v>
          </cell>
          <cell r="AT210">
            <v>0</v>
          </cell>
          <cell r="AU210">
            <v>0</v>
          </cell>
          <cell r="AV210">
            <v>2887556</v>
          </cell>
          <cell r="AW210">
            <v>13145</v>
          </cell>
          <cell r="AX210">
            <v>40419</v>
          </cell>
          <cell r="AY210">
            <v>180054</v>
          </cell>
          <cell r="AZ210">
            <v>1</v>
          </cell>
          <cell r="BA210">
            <v>1</v>
          </cell>
          <cell r="BB210">
            <v>0</v>
          </cell>
          <cell r="BC210">
            <v>0</v>
          </cell>
          <cell r="BE210">
            <v>3313644</v>
          </cell>
          <cell r="BF210">
            <v>1397</v>
          </cell>
          <cell r="BG210">
            <v>1636</v>
          </cell>
          <cell r="BH210">
            <v>33</v>
          </cell>
          <cell r="BI210">
            <v>41090399</v>
          </cell>
          <cell r="BJ210">
            <v>42116345</v>
          </cell>
          <cell r="BL210">
            <v>81</v>
          </cell>
          <cell r="BM210">
            <v>97</v>
          </cell>
          <cell r="BN210">
            <v>106</v>
          </cell>
          <cell r="BO210">
            <v>38</v>
          </cell>
          <cell r="BP210">
            <v>32</v>
          </cell>
          <cell r="BQ210">
            <v>28</v>
          </cell>
        </row>
        <row r="211">
          <cell r="A211">
            <v>420</v>
          </cell>
          <cell r="B211" t="str">
            <v>420 - Osage City</v>
          </cell>
          <cell r="C211" t="str">
            <v>Osage</v>
          </cell>
          <cell r="D211">
            <v>39099456</v>
          </cell>
          <cell r="E211">
            <v>32228544</v>
          </cell>
          <cell r="F211">
            <v>40644806</v>
          </cell>
          <cell r="G211">
            <v>29108542</v>
          </cell>
          <cell r="H211">
            <v>671</v>
          </cell>
          <cell r="I211">
            <v>652</v>
          </cell>
          <cell r="J211">
            <v>127.3</v>
          </cell>
          <cell r="K211">
            <v>6941713</v>
          </cell>
          <cell r="L211">
            <v>671.8</v>
          </cell>
          <cell r="M211">
            <v>681.2</v>
          </cell>
          <cell r="N211">
            <v>666.5</v>
          </cell>
          <cell r="O211">
            <v>648.4</v>
          </cell>
          <cell r="P211">
            <v>843531</v>
          </cell>
          <cell r="Q211">
            <v>952502</v>
          </cell>
          <cell r="R211">
            <v>1460906</v>
          </cell>
          <cell r="S211">
            <v>822116</v>
          </cell>
          <cell r="T211">
            <v>25494</v>
          </cell>
          <cell r="U211">
            <v>21714</v>
          </cell>
          <cell r="V211">
            <v>0.22</v>
          </cell>
          <cell r="W211">
            <v>0.69</v>
          </cell>
          <cell r="X211">
            <v>288</v>
          </cell>
          <cell r="Y211">
            <v>53</v>
          </cell>
          <cell r="Z211">
            <v>0.68</v>
          </cell>
          <cell r="AA211">
            <v>0.13</v>
          </cell>
          <cell r="AB211">
            <v>0.6341</v>
          </cell>
          <cell r="AC211">
            <v>669938</v>
          </cell>
          <cell r="AD211">
            <v>656987</v>
          </cell>
          <cell r="AE211">
            <v>656987</v>
          </cell>
          <cell r="AF211">
            <v>667.5</v>
          </cell>
          <cell r="AG211">
            <v>677.5</v>
          </cell>
          <cell r="AH211">
            <v>663.5</v>
          </cell>
          <cell r="AI211">
            <v>644.5</v>
          </cell>
          <cell r="AJ211">
            <v>0</v>
          </cell>
          <cell r="AM211">
            <v>0</v>
          </cell>
          <cell r="AN211">
            <v>0</v>
          </cell>
          <cell r="AO211">
            <v>630.5</v>
          </cell>
          <cell r="AQ211">
            <v>0</v>
          </cell>
          <cell r="AT211">
            <v>0</v>
          </cell>
          <cell r="AU211">
            <v>0</v>
          </cell>
          <cell r="AV211">
            <v>5844039</v>
          </cell>
          <cell r="AW211">
            <v>152642</v>
          </cell>
          <cell r="AX211">
            <v>165450</v>
          </cell>
          <cell r="AY211">
            <v>1394904</v>
          </cell>
          <cell r="AZ211">
            <v>1</v>
          </cell>
          <cell r="BA211">
            <v>1</v>
          </cell>
          <cell r="BB211">
            <v>0</v>
          </cell>
          <cell r="BC211">
            <v>0</v>
          </cell>
          <cell r="BE211">
            <v>5989211</v>
          </cell>
          <cell r="BF211">
            <v>1818</v>
          </cell>
          <cell r="BG211">
            <v>896</v>
          </cell>
          <cell r="BH211">
            <v>33</v>
          </cell>
          <cell r="BI211">
            <v>39099456</v>
          </cell>
          <cell r="BJ211">
            <v>40644806</v>
          </cell>
          <cell r="BL211">
            <v>214</v>
          </cell>
          <cell r="BM211">
            <v>333</v>
          </cell>
          <cell r="BN211">
            <v>330</v>
          </cell>
          <cell r="BO211">
            <v>87</v>
          </cell>
          <cell r="BP211">
            <v>52</v>
          </cell>
          <cell r="BQ211">
            <v>38</v>
          </cell>
        </row>
        <row r="212">
          <cell r="A212">
            <v>421</v>
          </cell>
          <cell r="B212" t="str">
            <v>421 - Lyndon</v>
          </cell>
          <cell r="C212" t="str">
            <v>Osage</v>
          </cell>
          <cell r="D212">
            <v>31721576</v>
          </cell>
          <cell r="E212">
            <v>26292888</v>
          </cell>
          <cell r="F212">
            <v>33267663</v>
          </cell>
          <cell r="G212">
            <v>24000226</v>
          </cell>
          <cell r="H212">
            <v>394</v>
          </cell>
          <cell r="I212">
            <v>394</v>
          </cell>
          <cell r="J212">
            <v>109</v>
          </cell>
          <cell r="K212">
            <v>4244855</v>
          </cell>
          <cell r="L212">
            <v>425.5</v>
          </cell>
          <cell r="M212">
            <v>402</v>
          </cell>
          <cell r="N212">
            <v>400.5</v>
          </cell>
          <cell r="O212">
            <v>387</v>
          </cell>
          <cell r="P212">
            <v>525835</v>
          </cell>
          <cell r="Q212">
            <v>589545</v>
          </cell>
          <cell r="R212">
            <v>738649</v>
          </cell>
          <cell r="S212">
            <v>529037</v>
          </cell>
          <cell r="T212">
            <v>15320</v>
          </cell>
          <cell r="U212">
            <v>16818</v>
          </cell>
          <cell r="V212">
            <v>0</v>
          </cell>
          <cell r="W212">
            <v>0.46</v>
          </cell>
          <cell r="X212">
            <v>132</v>
          </cell>
          <cell r="Y212">
            <v>41</v>
          </cell>
          <cell r="Z212">
            <v>0.45</v>
          </cell>
          <cell r="AA212">
            <v>0</v>
          </cell>
          <cell r="AB212">
            <v>0.50209999999999999</v>
          </cell>
          <cell r="AC212">
            <v>417989</v>
          </cell>
          <cell r="AD212">
            <v>377281</v>
          </cell>
          <cell r="AE212">
            <v>377281</v>
          </cell>
          <cell r="AF212">
            <v>425.5</v>
          </cell>
          <cell r="AG212">
            <v>400</v>
          </cell>
          <cell r="AH212">
            <v>399.5</v>
          </cell>
          <cell r="AI212">
            <v>387</v>
          </cell>
          <cell r="AJ212">
            <v>0</v>
          </cell>
          <cell r="AM212">
            <v>0</v>
          </cell>
          <cell r="AN212">
            <v>0</v>
          </cell>
          <cell r="AO212">
            <v>380.5</v>
          </cell>
          <cell r="AQ212">
            <v>0</v>
          </cell>
          <cell r="AT212">
            <v>0</v>
          </cell>
          <cell r="AU212">
            <v>0</v>
          </cell>
          <cell r="AV212">
            <v>3623432</v>
          </cell>
          <cell r="AW212">
            <v>113202</v>
          </cell>
          <cell r="AX212">
            <v>125763</v>
          </cell>
          <cell r="AY212">
            <v>721197</v>
          </cell>
          <cell r="AZ212">
            <v>1</v>
          </cell>
          <cell r="BA212">
            <v>1</v>
          </cell>
          <cell r="BB212">
            <v>0</v>
          </cell>
          <cell r="BC212">
            <v>0</v>
          </cell>
          <cell r="BE212">
            <v>3655310</v>
          </cell>
          <cell r="BF212">
            <v>468</v>
          </cell>
          <cell r="BG212">
            <v>928</v>
          </cell>
          <cell r="BH212">
            <v>33</v>
          </cell>
          <cell r="BI212">
            <v>31721576</v>
          </cell>
          <cell r="BJ212">
            <v>33267663</v>
          </cell>
          <cell r="BL212">
            <v>103</v>
          </cell>
          <cell r="BM212">
            <v>134</v>
          </cell>
          <cell r="BN212">
            <v>124</v>
          </cell>
          <cell r="BO212">
            <v>46</v>
          </cell>
          <cell r="BP212">
            <v>21</v>
          </cell>
          <cell r="BQ212">
            <v>39</v>
          </cell>
        </row>
        <row r="213">
          <cell r="A213">
            <v>422</v>
          </cell>
          <cell r="B213" t="str">
            <v>422 - Kiowa County</v>
          </cell>
          <cell r="C213" t="str">
            <v>Kiowa</v>
          </cell>
          <cell r="D213">
            <v>67719564</v>
          </cell>
          <cell r="E213">
            <v>64749876</v>
          </cell>
          <cell r="F213">
            <v>64996554</v>
          </cell>
          <cell r="G213">
            <v>60338584</v>
          </cell>
          <cell r="H213">
            <v>277.5</v>
          </cell>
          <cell r="I213">
            <v>260.5</v>
          </cell>
          <cell r="J213">
            <v>459.8</v>
          </cell>
          <cell r="K213">
            <v>3093963</v>
          </cell>
          <cell r="L213">
            <v>379.3</v>
          </cell>
          <cell r="M213">
            <v>400.3</v>
          </cell>
          <cell r="N213">
            <v>265.5</v>
          </cell>
          <cell r="O213">
            <v>249.4</v>
          </cell>
          <cell r="P213">
            <v>369018</v>
          </cell>
          <cell r="Q213">
            <v>390887</v>
          </cell>
          <cell r="R213">
            <v>0</v>
          </cell>
          <cell r="S213">
            <v>289543</v>
          </cell>
          <cell r="T213">
            <v>0</v>
          </cell>
          <cell r="U213">
            <v>12166</v>
          </cell>
          <cell r="V213">
            <v>0</v>
          </cell>
          <cell r="W213">
            <v>0</v>
          </cell>
          <cell r="X213">
            <v>90</v>
          </cell>
          <cell r="Y213">
            <v>15</v>
          </cell>
          <cell r="Z213">
            <v>0</v>
          </cell>
          <cell r="AA213">
            <v>0</v>
          </cell>
          <cell r="AB213">
            <v>0</v>
          </cell>
          <cell r="AC213">
            <v>361727</v>
          </cell>
          <cell r="AD213">
            <v>321404</v>
          </cell>
          <cell r="AE213">
            <v>321404</v>
          </cell>
          <cell r="AF213">
            <v>295</v>
          </cell>
          <cell r="AG213">
            <v>283.5</v>
          </cell>
          <cell r="AH213">
            <v>265.5</v>
          </cell>
          <cell r="AI213">
            <v>249.4</v>
          </cell>
          <cell r="AJ213">
            <v>0</v>
          </cell>
          <cell r="AM213">
            <v>1</v>
          </cell>
          <cell r="AN213">
            <v>0</v>
          </cell>
          <cell r="AO213">
            <v>247.4</v>
          </cell>
          <cell r="AQ213">
            <v>0</v>
          </cell>
          <cell r="AT213">
            <v>0</v>
          </cell>
          <cell r="AU213">
            <v>0</v>
          </cell>
          <cell r="AV213">
            <v>2661970</v>
          </cell>
          <cell r="AW213">
            <v>0</v>
          </cell>
          <cell r="AX213">
            <v>0</v>
          </cell>
          <cell r="AY213">
            <v>0</v>
          </cell>
          <cell r="AZ213">
            <v>1</v>
          </cell>
          <cell r="BA213">
            <v>1</v>
          </cell>
          <cell r="BB213">
            <v>0</v>
          </cell>
          <cell r="BC213">
            <v>0</v>
          </cell>
          <cell r="BE213">
            <v>2697432</v>
          </cell>
          <cell r="BF213">
            <v>4151</v>
          </cell>
          <cell r="BG213">
            <v>2579</v>
          </cell>
          <cell r="BH213">
            <v>33</v>
          </cell>
          <cell r="BI213">
            <v>67719564</v>
          </cell>
          <cell r="BJ213">
            <v>64434656</v>
          </cell>
          <cell r="BL213">
            <v>91</v>
          </cell>
          <cell r="BM213">
            <v>113</v>
          </cell>
          <cell r="BN213">
            <v>100</v>
          </cell>
          <cell r="BO213">
            <v>46</v>
          </cell>
          <cell r="BP213">
            <v>34</v>
          </cell>
          <cell r="BQ213">
            <v>29</v>
          </cell>
        </row>
        <row r="214">
          <cell r="A214">
            <v>423</v>
          </cell>
          <cell r="B214" t="str">
            <v>423 - Moundridge</v>
          </cell>
          <cell r="C214" t="str">
            <v>McPherson</v>
          </cell>
          <cell r="D214">
            <v>60185054</v>
          </cell>
          <cell r="E214">
            <v>53952266</v>
          </cell>
          <cell r="F214">
            <v>63750740</v>
          </cell>
          <cell r="G214">
            <v>52797098</v>
          </cell>
          <cell r="H214">
            <v>450.1</v>
          </cell>
          <cell r="I214">
            <v>476.6</v>
          </cell>
          <cell r="J214">
            <v>156</v>
          </cell>
          <cell r="K214">
            <v>5084361</v>
          </cell>
          <cell r="L214">
            <v>448.1</v>
          </cell>
          <cell r="M214">
            <v>465.1</v>
          </cell>
          <cell r="N214">
            <v>489.6</v>
          </cell>
          <cell r="O214">
            <v>483.6</v>
          </cell>
          <cell r="P214">
            <v>553299</v>
          </cell>
          <cell r="Q214">
            <v>635593</v>
          </cell>
          <cell r="R214">
            <v>319735</v>
          </cell>
          <cell r="S214">
            <v>412532</v>
          </cell>
          <cell r="T214">
            <v>0</v>
          </cell>
          <cell r="U214">
            <v>0</v>
          </cell>
          <cell r="V214">
            <v>0</v>
          </cell>
          <cell r="W214">
            <v>0</v>
          </cell>
          <cell r="X214">
            <v>171</v>
          </cell>
          <cell r="Y214">
            <v>56</v>
          </cell>
          <cell r="Z214">
            <v>0</v>
          </cell>
          <cell r="AA214">
            <v>0</v>
          </cell>
          <cell r="AB214">
            <v>0.20480000000000001</v>
          </cell>
          <cell r="AC214">
            <v>391932</v>
          </cell>
          <cell r="AD214">
            <v>385434</v>
          </cell>
          <cell r="AE214">
            <v>385434</v>
          </cell>
          <cell r="AF214">
            <v>448.1</v>
          </cell>
          <cell r="AG214">
            <v>465.1</v>
          </cell>
          <cell r="AH214">
            <v>489.6</v>
          </cell>
          <cell r="AI214">
            <v>483.6</v>
          </cell>
          <cell r="AJ214">
            <v>0</v>
          </cell>
          <cell r="AM214">
            <v>0</v>
          </cell>
          <cell r="AN214">
            <v>0</v>
          </cell>
          <cell r="AO214">
            <v>471.1</v>
          </cell>
          <cell r="AQ214">
            <v>0</v>
          </cell>
          <cell r="AT214">
            <v>0</v>
          </cell>
          <cell r="AU214">
            <v>0</v>
          </cell>
          <cell r="AV214">
            <v>4017760</v>
          </cell>
          <cell r="AW214">
            <v>0</v>
          </cell>
          <cell r="AX214">
            <v>41012</v>
          </cell>
          <cell r="AY214">
            <v>173961</v>
          </cell>
          <cell r="AZ214">
            <v>1</v>
          </cell>
          <cell r="BA214">
            <v>1</v>
          </cell>
          <cell r="BB214">
            <v>0</v>
          </cell>
          <cell r="BC214">
            <v>0</v>
          </cell>
          <cell r="BE214">
            <v>4448768</v>
          </cell>
          <cell r="BF214">
            <v>0</v>
          </cell>
          <cell r="BG214">
            <v>0</v>
          </cell>
          <cell r="BH214">
            <v>33</v>
          </cell>
          <cell r="BI214">
            <v>60571786</v>
          </cell>
          <cell r="BJ214">
            <v>64145102</v>
          </cell>
          <cell r="BL214">
            <v>102</v>
          </cell>
          <cell r="BM214">
            <v>148</v>
          </cell>
          <cell r="BN214">
            <v>163</v>
          </cell>
          <cell r="BO214">
            <v>57</v>
          </cell>
          <cell r="BP214">
            <v>56</v>
          </cell>
          <cell r="BQ214">
            <v>61</v>
          </cell>
        </row>
        <row r="215">
          <cell r="A215">
            <v>426</v>
          </cell>
          <cell r="B215" t="str">
            <v>426 - Pike Valley</v>
          </cell>
          <cell r="C215" t="str">
            <v>Republic</v>
          </cell>
          <cell r="D215">
            <v>28776475</v>
          </cell>
          <cell r="E215">
            <v>26368654</v>
          </cell>
          <cell r="F215">
            <v>27453160</v>
          </cell>
          <cell r="G215">
            <v>23698017</v>
          </cell>
          <cell r="H215">
            <v>202.7</v>
          </cell>
          <cell r="I215">
            <v>203.5</v>
          </cell>
          <cell r="J215">
            <v>194.8</v>
          </cell>
          <cell r="K215">
            <v>2589507</v>
          </cell>
          <cell r="L215">
            <v>206.6</v>
          </cell>
          <cell r="M215">
            <v>209.7</v>
          </cell>
          <cell r="N215">
            <v>209</v>
          </cell>
          <cell r="O215">
            <v>213.5</v>
          </cell>
          <cell r="P215">
            <v>205115</v>
          </cell>
          <cell r="Q215">
            <v>222044</v>
          </cell>
          <cell r="R215">
            <v>74060</v>
          </cell>
          <cell r="S215">
            <v>291358</v>
          </cell>
          <cell r="T215">
            <v>0</v>
          </cell>
          <cell r="U215">
            <v>0</v>
          </cell>
          <cell r="V215">
            <v>0</v>
          </cell>
          <cell r="W215">
            <v>0.04</v>
          </cell>
          <cell r="X215">
            <v>87</v>
          </cell>
          <cell r="Y215">
            <v>10</v>
          </cell>
          <cell r="Z215">
            <v>0.03</v>
          </cell>
          <cell r="AA215">
            <v>0</v>
          </cell>
          <cell r="AB215">
            <v>0.15529999999999999</v>
          </cell>
          <cell r="AC215">
            <v>227025</v>
          </cell>
          <cell r="AD215">
            <v>216313</v>
          </cell>
          <cell r="AE215">
            <v>216313</v>
          </cell>
          <cell r="AF215">
            <v>206.6</v>
          </cell>
          <cell r="AG215">
            <v>209.7</v>
          </cell>
          <cell r="AH215">
            <v>209</v>
          </cell>
          <cell r="AI215">
            <v>213.5</v>
          </cell>
          <cell r="AJ215">
            <v>0</v>
          </cell>
          <cell r="AM215">
            <v>0</v>
          </cell>
          <cell r="AN215">
            <v>0</v>
          </cell>
          <cell r="AO215">
            <v>211.5</v>
          </cell>
          <cell r="AQ215">
            <v>0</v>
          </cell>
          <cell r="AT215">
            <v>0</v>
          </cell>
          <cell r="AU215">
            <v>0</v>
          </cell>
          <cell r="AV215">
            <v>2113627</v>
          </cell>
          <cell r="AW215">
            <v>0</v>
          </cell>
          <cell r="AX215">
            <v>0</v>
          </cell>
          <cell r="AY215">
            <v>35244</v>
          </cell>
          <cell r="AZ215">
            <v>1</v>
          </cell>
          <cell r="BA215">
            <v>1</v>
          </cell>
          <cell r="BB215">
            <v>0</v>
          </cell>
          <cell r="BC215">
            <v>0</v>
          </cell>
          <cell r="BE215">
            <v>2328611</v>
          </cell>
          <cell r="BF215">
            <v>2305</v>
          </cell>
          <cell r="BG215">
            <v>1041</v>
          </cell>
          <cell r="BH215">
            <v>32.5</v>
          </cell>
          <cell r="BI215">
            <v>28776475</v>
          </cell>
          <cell r="BJ215">
            <v>27376677</v>
          </cell>
          <cell r="BL215">
            <v>64</v>
          </cell>
          <cell r="BM215">
            <v>65</v>
          </cell>
          <cell r="BN215">
            <v>58</v>
          </cell>
          <cell r="BO215">
            <v>43</v>
          </cell>
          <cell r="BP215">
            <v>40</v>
          </cell>
          <cell r="BQ215">
            <v>36</v>
          </cell>
        </row>
        <row r="216">
          <cell r="A216">
            <v>428</v>
          </cell>
          <cell r="B216" t="str">
            <v>428 - Great Bend</v>
          </cell>
          <cell r="C216" t="str">
            <v>Barton</v>
          </cell>
          <cell r="D216">
            <v>214029770</v>
          </cell>
          <cell r="E216">
            <v>178514376</v>
          </cell>
          <cell r="F216">
            <v>207067463</v>
          </cell>
          <cell r="G216">
            <v>156299290</v>
          </cell>
          <cell r="H216">
            <v>2770.2</v>
          </cell>
          <cell r="I216">
            <v>2777.9</v>
          </cell>
          <cell r="J216">
            <v>190</v>
          </cell>
          <cell r="K216">
            <v>24894992</v>
          </cell>
          <cell r="L216">
            <v>2780.1</v>
          </cell>
          <cell r="M216">
            <v>2817.7</v>
          </cell>
          <cell r="N216">
            <v>2847.9</v>
          </cell>
          <cell r="O216">
            <v>2838.5</v>
          </cell>
          <cell r="P216">
            <v>2419850</v>
          </cell>
          <cell r="Q216">
            <v>2789664</v>
          </cell>
          <cell r="R216">
            <v>4688574</v>
          </cell>
          <cell r="S216">
            <v>2088537</v>
          </cell>
          <cell r="T216">
            <v>0</v>
          </cell>
          <cell r="U216">
            <v>0</v>
          </cell>
          <cell r="V216">
            <v>0.12</v>
          </cell>
          <cell r="W216">
            <v>0.59</v>
          </cell>
          <cell r="X216">
            <v>1714</v>
          </cell>
          <cell r="Y216">
            <v>237</v>
          </cell>
          <cell r="Z216">
            <v>0.57999999999999996</v>
          </cell>
          <cell r="AA216">
            <v>0.03</v>
          </cell>
          <cell r="AB216">
            <v>0.56330000000000002</v>
          </cell>
          <cell r="AC216">
            <v>3920142</v>
          </cell>
          <cell r="AD216">
            <v>3872477</v>
          </cell>
          <cell r="AE216">
            <v>3872477</v>
          </cell>
          <cell r="AF216">
            <v>2780.1</v>
          </cell>
          <cell r="AG216">
            <v>2817.7</v>
          </cell>
          <cell r="AH216">
            <v>2827.4</v>
          </cell>
          <cell r="AI216">
            <v>2827.3</v>
          </cell>
          <cell r="AJ216">
            <v>0</v>
          </cell>
          <cell r="AM216">
            <v>9</v>
          </cell>
          <cell r="AN216">
            <v>0</v>
          </cell>
          <cell r="AO216">
            <v>2763.8</v>
          </cell>
          <cell r="AQ216">
            <v>0</v>
          </cell>
          <cell r="AT216">
            <v>0</v>
          </cell>
          <cell r="AU216">
            <v>0</v>
          </cell>
          <cell r="AV216">
            <v>20989332</v>
          </cell>
          <cell r="AW216">
            <v>973598</v>
          </cell>
          <cell r="AX216">
            <v>930945</v>
          </cell>
          <cell r="AY216">
            <v>4508650</v>
          </cell>
          <cell r="AZ216">
            <v>1</v>
          </cell>
          <cell r="BA216">
            <v>1</v>
          </cell>
          <cell r="BB216">
            <v>54160</v>
          </cell>
          <cell r="BC216">
            <v>53577</v>
          </cell>
          <cell r="BE216">
            <v>22098983</v>
          </cell>
          <cell r="BF216">
            <v>22245</v>
          </cell>
          <cell r="BG216">
            <v>29690</v>
          </cell>
          <cell r="BH216">
            <v>33</v>
          </cell>
          <cell r="BI216">
            <v>214799137</v>
          </cell>
          <cell r="BJ216">
            <v>206463681</v>
          </cell>
          <cell r="BL216">
            <v>1467</v>
          </cell>
          <cell r="BM216">
            <v>1627</v>
          </cell>
          <cell r="BN216">
            <v>1725</v>
          </cell>
          <cell r="BO216">
            <v>339</v>
          </cell>
          <cell r="BP216">
            <v>239</v>
          </cell>
          <cell r="BQ216">
            <v>238</v>
          </cell>
        </row>
        <row r="217">
          <cell r="A217">
            <v>429</v>
          </cell>
          <cell r="B217" t="str">
            <v>429 - Troy Public Schools</v>
          </cell>
          <cell r="C217" t="str">
            <v>Doniphan</v>
          </cell>
          <cell r="D217">
            <v>31711750</v>
          </cell>
          <cell r="E217">
            <v>28242690</v>
          </cell>
          <cell r="F217">
            <v>31333167</v>
          </cell>
          <cell r="G217">
            <v>25781260</v>
          </cell>
          <cell r="H217">
            <v>300.60000000000002</v>
          </cell>
          <cell r="I217">
            <v>295.5</v>
          </cell>
          <cell r="J217">
            <v>95</v>
          </cell>
          <cell r="K217">
            <v>3015445</v>
          </cell>
          <cell r="L217">
            <v>320.7</v>
          </cell>
          <cell r="M217">
            <v>306.10000000000002</v>
          </cell>
          <cell r="N217">
            <v>297</v>
          </cell>
          <cell r="O217">
            <v>291.8</v>
          </cell>
          <cell r="P217">
            <v>369467</v>
          </cell>
          <cell r="Q217">
            <v>345168</v>
          </cell>
          <cell r="R217">
            <v>350624</v>
          </cell>
          <cell r="S217">
            <v>338671</v>
          </cell>
          <cell r="T217">
            <v>0</v>
          </cell>
          <cell r="U217">
            <v>8959</v>
          </cell>
          <cell r="V217">
            <v>0</v>
          </cell>
          <cell r="W217">
            <v>0.28000000000000003</v>
          </cell>
          <cell r="X217">
            <v>64</v>
          </cell>
          <cell r="Y217">
            <v>25</v>
          </cell>
          <cell r="Z217">
            <v>0.27</v>
          </cell>
          <cell r="AA217">
            <v>0</v>
          </cell>
          <cell r="AB217">
            <v>0.35420000000000001</v>
          </cell>
          <cell r="AC217">
            <v>280420</v>
          </cell>
          <cell r="AD217">
            <v>258375</v>
          </cell>
          <cell r="AE217">
            <v>258375</v>
          </cell>
          <cell r="AF217">
            <v>320.7</v>
          </cell>
          <cell r="AG217">
            <v>306.10000000000002</v>
          </cell>
          <cell r="AH217">
            <v>297</v>
          </cell>
          <cell r="AI217">
            <v>291.8</v>
          </cell>
          <cell r="AJ217">
            <v>0</v>
          </cell>
          <cell r="AM217">
            <v>0</v>
          </cell>
          <cell r="AN217">
            <v>0</v>
          </cell>
          <cell r="AO217">
            <v>289.8</v>
          </cell>
          <cell r="AQ217">
            <v>0</v>
          </cell>
          <cell r="AT217">
            <v>0</v>
          </cell>
          <cell r="AU217">
            <v>0</v>
          </cell>
          <cell r="AV217">
            <v>2687912</v>
          </cell>
          <cell r="AW217">
            <v>0</v>
          </cell>
          <cell r="AX217">
            <v>0</v>
          </cell>
          <cell r="AY217">
            <v>349676</v>
          </cell>
          <cell r="AZ217">
            <v>1</v>
          </cell>
          <cell r="BA217">
            <v>1</v>
          </cell>
          <cell r="BB217">
            <v>0</v>
          </cell>
          <cell r="BC217">
            <v>0</v>
          </cell>
          <cell r="BE217">
            <v>2670277</v>
          </cell>
          <cell r="BF217">
            <v>4010</v>
          </cell>
          <cell r="BG217">
            <v>638</v>
          </cell>
          <cell r="BH217">
            <v>33</v>
          </cell>
          <cell r="BI217">
            <v>31711750</v>
          </cell>
          <cell r="BJ217">
            <v>30271371</v>
          </cell>
          <cell r="BL217">
            <v>35</v>
          </cell>
          <cell r="BM217">
            <v>72</v>
          </cell>
          <cell r="BN217">
            <v>71</v>
          </cell>
          <cell r="BO217">
            <v>9</v>
          </cell>
          <cell r="BP217">
            <v>10</v>
          </cell>
          <cell r="BQ217">
            <v>26</v>
          </cell>
        </row>
        <row r="218">
          <cell r="A218">
            <v>430</v>
          </cell>
          <cell r="B218" t="str">
            <v>430 - South Brown County</v>
          </cell>
          <cell r="C218" t="str">
            <v>Brown</v>
          </cell>
          <cell r="D218">
            <v>45824808</v>
          </cell>
          <cell r="E218">
            <v>40403768</v>
          </cell>
          <cell r="F218">
            <v>47018098</v>
          </cell>
          <cell r="G218">
            <v>38279422</v>
          </cell>
          <cell r="H218">
            <v>515.5</v>
          </cell>
          <cell r="I218">
            <v>493.5</v>
          </cell>
          <cell r="J218">
            <v>156.4</v>
          </cell>
          <cell r="K218">
            <v>5659269</v>
          </cell>
          <cell r="L218">
            <v>504.5</v>
          </cell>
          <cell r="M218">
            <v>518</v>
          </cell>
          <cell r="N218">
            <v>498.5</v>
          </cell>
          <cell r="O218">
            <v>495.9</v>
          </cell>
          <cell r="P218">
            <v>554196</v>
          </cell>
          <cell r="Q218">
            <v>567624</v>
          </cell>
          <cell r="R218">
            <v>840271</v>
          </cell>
          <cell r="S218">
            <v>830393</v>
          </cell>
          <cell r="T218">
            <v>0</v>
          </cell>
          <cell r="U218">
            <v>0</v>
          </cell>
          <cell r="V218">
            <v>0</v>
          </cell>
          <cell r="W218">
            <v>0.38</v>
          </cell>
          <cell r="X218">
            <v>285</v>
          </cell>
          <cell r="Y218">
            <v>30</v>
          </cell>
          <cell r="Z218">
            <v>0.37</v>
          </cell>
          <cell r="AA218">
            <v>0</v>
          </cell>
          <cell r="AB218">
            <v>0.43369999999999997</v>
          </cell>
          <cell r="AC218">
            <v>615414</v>
          </cell>
          <cell r="AD218">
            <v>574689</v>
          </cell>
          <cell r="AE218">
            <v>574689</v>
          </cell>
          <cell r="AF218">
            <v>503.5</v>
          </cell>
          <cell r="AG218">
            <v>518</v>
          </cell>
          <cell r="AH218">
            <v>498.5</v>
          </cell>
          <cell r="AI218">
            <v>495.9</v>
          </cell>
          <cell r="AJ218">
            <v>0</v>
          </cell>
          <cell r="AM218">
            <v>12</v>
          </cell>
          <cell r="AN218">
            <v>1</v>
          </cell>
          <cell r="AO218">
            <v>492.9</v>
          </cell>
          <cell r="AQ218">
            <v>0</v>
          </cell>
          <cell r="AT218">
            <v>0</v>
          </cell>
          <cell r="AU218">
            <v>0</v>
          </cell>
          <cell r="AV218">
            <v>4818223</v>
          </cell>
          <cell r="AW218">
            <v>53296</v>
          </cell>
          <cell r="AX218">
            <v>58826</v>
          </cell>
          <cell r="AY218">
            <v>748384</v>
          </cell>
          <cell r="AZ218">
            <v>1</v>
          </cell>
          <cell r="BA218">
            <v>1</v>
          </cell>
          <cell r="BB218">
            <v>0</v>
          </cell>
          <cell r="BC218">
            <v>0</v>
          </cell>
          <cell r="BE218">
            <v>5091645</v>
          </cell>
          <cell r="BF218">
            <v>0</v>
          </cell>
          <cell r="BG218">
            <v>0</v>
          </cell>
          <cell r="BH218">
            <v>33</v>
          </cell>
          <cell r="BI218">
            <v>45598049</v>
          </cell>
          <cell r="BJ218">
            <v>46749197</v>
          </cell>
          <cell r="BL218">
            <v>235</v>
          </cell>
          <cell r="BM218">
            <v>281</v>
          </cell>
          <cell r="BN218">
            <v>274</v>
          </cell>
          <cell r="BO218">
            <v>44</v>
          </cell>
          <cell r="BP218">
            <v>37</v>
          </cell>
          <cell r="BQ218">
            <v>22</v>
          </cell>
        </row>
        <row r="219">
          <cell r="A219">
            <v>431</v>
          </cell>
          <cell r="B219" t="str">
            <v>431 - Hoisington</v>
          </cell>
          <cell r="C219" t="str">
            <v>Barton</v>
          </cell>
          <cell r="D219">
            <v>31784521</v>
          </cell>
          <cell r="E219">
            <v>30174538</v>
          </cell>
          <cell r="F219">
            <v>50841182</v>
          </cell>
          <cell r="G219">
            <v>39773273</v>
          </cell>
          <cell r="H219">
            <v>725.3</v>
          </cell>
          <cell r="I219">
            <v>666.3</v>
          </cell>
          <cell r="J219">
            <v>292</v>
          </cell>
          <cell r="K219">
            <v>7311453</v>
          </cell>
          <cell r="L219">
            <v>739.4</v>
          </cell>
          <cell r="M219">
            <v>732.8</v>
          </cell>
          <cell r="N219">
            <v>676.8</v>
          </cell>
          <cell r="O219">
            <v>696.5</v>
          </cell>
          <cell r="P219">
            <v>861350</v>
          </cell>
          <cell r="Q219">
            <v>991388</v>
          </cell>
          <cell r="R219">
            <v>1481835</v>
          </cell>
          <cell r="S219">
            <v>573375</v>
          </cell>
          <cell r="T219">
            <v>127774</v>
          </cell>
          <cell r="U219">
            <v>0</v>
          </cell>
          <cell r="V219">
            <v>0.12</v>
          </cell>
          <cell r="W219">
            <v>0.6</v>
          </cell>
          <cell r="X219">
            <v>319</v>
          </cell>
          <cell r="Y219">
            <v>74</v>
          </cell>
          <cell r="Z219">
            <v>0.59</v>
          </cell>
          <cell r="AA219">
            <v>0.04</v>
          </cell>
          <cell r="AB219">
            <v>0.61870000000000003</v>
          </cell>
          <cell r="AC219">
            <v>691460</v>
          </cell>
          <cell r="AD219">
            <v>654663</v>
          </cell>
          <cell r="AE219">
            <v>654663</v>
          </cell>
          <cell r="AF219">
            <v>739.4</v>
          </cell>
          <cell r="AG219">
            <v>732.8</v>
          </cell>
          <cell r="AH219">
            <v>676.8</v>
          </cell>
          <cell r="AI219">
            <v>693.8</v>
          </cell>
          <cell r="AJ219">
            <v>0</v>
          </cell>
          <cell r="AM219">
            <v>2</v>
          </cell>
          <cell r="AN219">
            <v>0</v>
          </cell>
          <cell r="AO219">
            <v>682.3</v>
          </cell>
          <cell r="AQ219">
            <v>0</v>
          </cell>
          <cell r="AT219">
            <v>0</v>
          </cell>
          <cell r="AU219">
            <v>0</v>
          </cell>
          <cell r="AV219">
            <v>6151755</v>
          </cell>
          <cell r="AW219">
            <v>115420</v>
          </cell>
          <cell r="AX219">
            <v>325813</v>
          </cell>
          <cell r="AY219">
            <v>1291523</v>
          </cell>
          <cell r="AZ219">
            <v>1</v>
          </cell>
          <cell r="BA219">
            <v>1</v>
          </cell>
          <cell r="BB219">
            <v>0</v>
          </cell>
          <cell r="BC219">
            <v>0</v>
          </cell>
          <cell r="BE219">
            <v>6307445</v>
          </cell>
          <cell r="BF219">
            <v>3156</v>
          </cell>
          <cell r="BG219">
            <v>4219</v>
          </cell>
          <cell r="BH219">
            <v>33</v>
          </cell>
          <cell r="BI219">
            <v>31509192</v>
          </cell>
          <cell r="BJ219">
            <v>50459748</v>
          </cell>
          <cell r="BL219">
            <v>313</v>
          </cell>
          <cell r="BM219">
            <v>338</v>
          </cell>
          <cell r="BN219">
            <v>307</v>
          </cell>
          <cell r="BO219">
            <v>93</v>
          </cell>
          <cell r="BP219">
            <v>50</v>
          </cell>
          <cell r="BQ219">
            <v>58</v>
          </cell>
        </row>
        <row r="220">
          <cell r="A220">
            <v>432</v>
          </cell>
          <cell r="B220" t="str">
            <v>432 - Victoria</v>
          </cell>
          <cell r="C220" t="str">
            <v>Ellis</v>
          </cell>
          <cell r="D220">
            <v>37678951</v>
          </cell>
          <cell r="E220">
            <v>33742772</v>
          </cell>
          <cell r="F220">
            <v>38785149</v>
          </cell>
          <cell r="G220">
            <v>32037811</v>
          </cell>
          <cell r="H220">
            <v>267</v>
          </cell>
          <cell r="I220">
            <v>260</v>
          </cell>
          <cell r="J220">
            <v>193.3</v>
          </cell>
          <cell r="K220">
            <v>2845866</v>
          </cell>
          <cell r="L220">
            <v>274</v>
          </cell>
          <cell r="M220">
            <v>270</v>
          </cell>
          <cell r="N220">
            <v>261.5</v>
          </cell>
          <cell r="O220">
            <v>254</v>
          </cell>
          <cell r="P220">
            <v>305109</v>
          </cell>
          <cell r="Q220">
            <v>339837</v>
          </cell>
          <cell r="R220">
            <v>166439</v>
          </cell>
          <cell r="S220">
            <v>270667</v>
          </cell>
          <cell r="T220">
            <v>0</v>
          </cell>
          <cell r="U220">
            <v>0</v>
          </cell>
          <cell r="V220">
            <v>0</v>
          </cell>
          <cell r="W220">
            <v>0</v>
          </cell>
          <cell r="X220">
            <v>57</v>
          </cell>
          <cell r="Y220">
            <v>35</v>
          </cell>
          <cell r="Z220">
            <v>0</v>
          </cell>
          <cell r="AA220">
            <v>0</v>
          </cell>
          <cell r="AB220">
            <v>0.1132</v>
          </cell>
          <cell r="AC220">
            <v>265105</v>
          </cell>
          <cell r="AD220">
            <v>251466</v>
          </cell>
          <cell r="AE220">
            <v>251466</v>
          </cell>
          <cell r="AF220">
            <v>274</v>
          </cell>
          <cell r="AG220">
            <v>270</v>
          </cell>
          <cell r="AH220">
            <v>261.5</v>
          </cell>
          <cell r="AI220">
            <v>254</v>
          </cell>
          <cell r="AJ220">
            <v>0</v>
          </cell>
          <cell r="AM220">
            <v>0</v>
          </cell>
          <cell r="AN220">
            <v>0</v>
          </cell>
          <cell r="AO220">
            <v>252.5</v>
          </cell>
          <cell r="AQ220">
            <v>0</v>
          </cell>
          <cell r="AT220">
            <v>0</v>
          </cell>
          <cell r="AU220">
            <v>0</v>
          </cell>
          <cell r="AV220">
            <v>2412435</v>
          </cell>
          <cell r="AW220">
            <v>0</v>
          </cell>
          <cell r="AX220">
            <v>0</v>
          </cell>
          <cell r="AY220">
            <v>194623</v>
          </cell>
          <cell r="AZ220">
            <v>1</v>
          </cell>
          <cell r="BA220">
            <v>1</v>
          </cell>
          <cell r="BB220">
            <v>0</v>
          </cell>
          <cell r="BC220">
            <v>0</v>
          </cell>
          <cell r="BE220">
            <v>2499217</v>
          </cell>
          <cell r="BF220">
            <v>798</v>
          </cell>
          <cell r="BG220">
            <v>0</v>
          </cell>
          <cell r="BH220">
            <v>33</v>
          </cell>
          <cell r="BI220">
            <v>37678951</v>
          </cell>
          <cell r="BJ220">
            <v>38785149</v>
          </cell>
          <cell r="BL220">
            <v>48</v>
          </cell>
          <cell r="BM220">
            <v>59</v>
          </cell>
          <cell r="BN220">
            <v>60</v>
          </cell>
          <cell r="BO220">
            <v>29</v>
          </cell>
          <cell r="BP220">
            <v>25</v>
          </cell>
          <cell r="BQ220">
            <v>28</v>
          </cell>
        </row>
        <row r="221">
          <cell r="A221">
            <v>434</v>
          </cell>
          <cell r="B221" t="str">
            <v>434 - Santa Fe Trail</v>
          </cell>
          <cell r="C221" t="str">
            <v>Osage</v>
          </cell>
          <cell r="D221">
            <v>71347169</v>
          </cell>
          <cell r="E221">
            <v>59891315</v>
          </cell>
          <cell r="F221">
            <v>73050554</v>
          </cell>
          <cell r="G221">
            <v>53402565</v>
          </cell>
          <cell r="H221">
            <v>1001</v>
          </cell>
          <cell r="I221">
            <v>988.7</v>
          </cell>
          <cell r="J221">
            <v>201</v>
          </cell>
          <cell r="K221">
            <v>9890935</v>
          </cell>
          <cell r="L221">
            <v>1005.9</v>
          </cell>
          <cell r="M221">
            <v>1027</v>
          </cell>
          <cell r="N221">
            <v>1006.2</v>
          </cell>
          <cell r="O221">
            <v>945</v>
          </cell>
          <cell r="P221">
            <v>1303530</v>
          </cell>
          <cell r="Q221">
            <v>1608624</v>
          </cell>
          <cell r="R221">
            <v>1900893</v>
          </cell>
          <cell r="S221">
            <v>1411795</v>
          </cell>
          <cell r="T221">
            <v>21105</v>
          </cell>
          <cell r="U221">
            <v>28551</v>
          </cell>
          <cell r="V221">
            <v>7.0000000000000007E-2</v>
          </cell>
          <cell r="W221">
            <v>0.55000000000000004</v>
          </cell>
          <cell r="X221">
            <v>355</v>
          </cell>
          <cell r="Y221">
            <v>90</v>
          </cell>
          <cell r="Z221">
            <v>0.54</v>
          </cell>
          <cell r="AA221">
            <v>0</v>
          </cell>
          <cell r="AB221">
            <v>0.55469999999999997</v>
          </cell>
          <cell r="AC221">
            <v>991144</v>
          </cell>
          <cell r="AD221">
            <v>926421</v>
          </cell>
          <cell r="AE221">
            <v>926421</v>
          </cell>
          <cell r="AF221">
            <v>996</v>
          </cell>
          <cell r="AG221">
            <v>1018</v>
          </cell>
          <cell r="AH221">
            <v>1000.2</v>
          </cell>
          <cell r="AI221">
            <v>942</v>
          </cell>
          <cell r="AJ221">
            <v>0</v>
          </cell>
          <cell r="AM221">
            <v>15</v>
          </cell>
          <cell r="AN221">
            <v>0</v>
          </cell>
          <cell r="AO221">
            <v>930</v>
          </cell>
          <cell r="AQ221">
            <v>0</v>
          </cell>
          <cell r="AT221">
            <v>0</v>
          </cell>
          <cell r="AU221">
            <v>0</v>
          </cell>
          <cell r="AV221">
            <v>8164256</v>
          </cell>
          <cell r="AW221">
            <v>336548</v>
          </cell>
          <cell r="AX221">
            <v>353816</v>
          </cell>
          <cell r="AY221">
            <v>1837365</v>
          </cell>
          <cell r="AZ221">
            <v>1</v>
          </cell>
          <cell r="BA221">
            <v>1</v>
          </cell>
          <cell r="BB221">
            <v>0</v>
          </cell>
          <cell r="BC221">
            <v>0</v>
          </cell>
          <cell r="BE221">
            <v>8282103</v>
          </cell>
          <cell r="BF221">
            <v>9743</v>
          </cell>
          <cell r="BG221">
            <v>7405</v>
          </cell>
          <cell r="BH221">
            <v>33</v>
          </cell>
          <cell r="BI221">
            <v>71347169</v>
          </cell>
          <cell r="BJ221">
            <v>73050554</v>
          </cell>
          <cell r="BL221">
            <v>288</v>
          </cell>
          <cell r="BM221">
            <v>420</v>
          </cell>
          <cell r="BN221">
            <v>397</v>
          </cell>
          <cell r="BO221">
            <v>77</v>
          </cell>
          <cell r="BP221">
            <v>56</v>
          </cell>
          <cell r="BQ221">
            <v>65</v>
          </cell>
        </row>
        <row r="222">
          <cell r="A222">
            <v>435</v>
          </cell>
          <cell r="B222" t="str">
            <v>435 - Abilene</v>
          </cell>
          <cell r="C222" t="str">
            <v>Dickinson</v>
          </cell>
          <cell r="D222">
            <v>99934296</v>
          </cell>
          <cell r="E222">
            <v>83940843</v>
          </cell>
          <cell r="F222">
            <v>102719126</v>
          </cell>
          <cell r="G222">
            <v>75653205</v>
          </cell>
          <cell r="H222">
            <v>1364.6</v>
          </cell>
          <cell r="I222">
            <v>1328.1</v>
          </cell>
          <cell r="J222">
            <v>101.5</v>
          </cell>
          <cell r="K222">
            <v>12114877</v>
          </cell>
          <cell r="L222">
            <v>1413.9</v>
          </cell>
          <cell r="M222">
            <v>1386.7</v>
          </cell>
          <cell r="N222">
            <v>1364.6</v>
          </cell>
          <cell r="O222">
            <v>1362.5</v>
          </cell>
          <cell r="P222">
            <v>1474438</v>
          </cell>
          <cell r="Q222">
            <v>1729830</v>
          </cell>
          <cell r="R222">
            <v>2054708</v>
          </cell>
          <cell r="S222">
            <v>1393535</v>
          </cell>
          <cell r="T222">
            <v>8102</v>
          </cell>
          <cell r="U222">
            <v>9179</v>
          </cell>
          <cell r="V222">
            <v>0.1</v>
          </cell>
          <cell r="W222">
            <v>0.56999999999999995</v>
          </cell>
          <cell r="X222">
            <v>548</v>
          </cell>
          <cell r="Y222">
            <v>156</v>
          </cell>
          <cell r="Z222">
            <v>0.56999999999999995</v>
          </cell>
          <cell r="AA222">
            <v>0.02</v>
          </cell>
          <cell r="AB222">
            <v>0.55569999999999997</v>
          </cell>
          <cell r="AC222">
            <v>1261029</v>
          </cell>
          <cell r="AD222">
            <v>1193258</v>
          </cell>
          <cell r="AE222">
            <v>1193258</v>
          </cell>
          <cell r="AF222">
            <v>1393.5</v>
          </cell>
          <cell r="AG222">
            <v>1374.1</v>
          </cell>
          <cell r="AH222">
            <v>1346.1</v>
          </cell>
          <cell r="AI222">
            <v>1339.8</v>
          </cell>
          <cell r="AJ222">
            <v>0</v>
          </cell>
          <cell r="AM222">
            <v>44</v>
          </cell>
          <cell r="AN222">
            <v>0</v>
          </cell>
          <cell r="AO222">
            <v>1323.8</v>
          </cell>
          <cell r="AQ222">
            <v>0</v>
          </cell>
          <cell r="AT222">
            <v>0</v>
          </cell>
          <cell r="AU222">
            <v>0</v>
          </cell>
          <cell r="AV222">
            <v>10004915</v>
          </cell>
          <cell r="AW222">
            <v>447755</v>
          </cell>
          <cell r="AX222">
            <v>484795</v>
          </cell>
          <cell r="AY222">
            <v>1952278</v>
          </cell>
          <cell r="AZ222">
            <v>1</v>
          </cell>
          <cell r="BA222">
            <v>1</v>
          </cell>
          <cell r="BB222">
            <v>117750</v>
          </cell>
          <cell r="BC222">
            <v>118210</v>
          </cell>
          <cell r="BE222">
            <v>10385047</v>
          </cell>
          <cell r="BF222">
            <v>5074</v>
          </cell>
          <cell r="BG222">
            <v>4415</v>
          </cell>
          <cell r="BH222">
            <v>32</v>
          </cell>
          <cell r="BI222">
            <v>99146186</v>
          </cell>
          <cell r="BJ222">
            <v>101941825</v>
          </cell>
          <cell r="BL222">
            <v>469</v>
          </cell>
          <cell r="BM222">
            <v>597</v>
          </cell>
          <cell r="BN222">
            <v>569</v>
          </cell>
          <cell r="BO222">
            <v>213</v>
          </cell>
          <cell r="BP222">
            <v>117</v>
          </cell>
          <cell r="BQ222">
            <v>145</v>
          </cell>
        </row>
        <row r="223">
          <cell r="A223">
            <v>436</v>
          </cell>
          <cell r="B223" t="str">
            <v>436 - Caney Valley</v>
          </cell>
          <cell r="C223" t="str">
            <v>Montgomery</v>
          </cell>
          <cell r="D223">
            <v>62448242</v>
          </cell>
          <cell r="E223">
            <v>54845962</v>
          </cell>
          <cell r="F223">
            <v>67228163</v>
          </cell>
          <cell r="G223">
            <v>55816803</v>
          </cell>
          <cell r="H223">
            <v>747.1</v>
          </cell>
          <cell r="I223">
            <v>746.8</v>
          </cell>
          <cell r="J223">
            <v>168</v>
          </cell>
          <cell r="K223">
            <v>7232334</v>
          </cell>
          <cell r="L223">
            <v>748.5</v>
          </cell>
          <cell r="M223">
            <v>755.1</v>
          </cell>
          <cell r="N223">
            <v>754.7</v>
          </cell>
          <cell r="O223">
            <v>750.9</v>
          </cell>
          <cell r="P223">
            <v>606109</v>
          </cell>
          <cell r="Q223">
            <v>644752</v>
          </cell>
          <cell r="R223">
            <v>1199822</v>
          </cell>
          <cell r="S223">
            <v>526930</v>
          </cell>
          <cell r="T223">
            <v>1429</v>
          </cell>
          <cell r="U223">
            <v>8525</v>
          </cell>
          <cell r="V223">
            <v>0</v>
          </cell>
          <cell r="W223">
            <v>0.42</v>
          </cell>
          <cell r="X223">
            <v>300</v>
          </cell>
          <cell r="Y223">
            <v>74</v>
          </cell>
          <cell r="Z223">
            <v>0.41</v>
          </cell>
          <cell r="AA223">
            <v>0</v>
          </cell>
          <cell r="AB223">
            <v>0.4803</v>
          </cell>
          <cell r="AC223">
            <v>757451</v>
          </cell>
          <cell r="AD223">
            <v>731559</v>
          </cell>
          <cell r="AE223">
            <v>731559</v>
          </cell>
          <cell r="AF223">
            <v>747.5</v>
          </cell>
          <cell r="AG223">
            <v>753.6</v>
          </cell>
          <cell r="AH223">
            <v>753.8</v>
          </cell>
          <cell r="AI223">
            <v>750.9</v>
          </cell>
          <cell r="AJ223">
            <v>0</v>
          </cell>
          <cell r="AM223">
            <v>0</v>
          </cell>
          <cell r="AN223">
            <v>0</v>
          </cell>
          <cell r="AO223">
            <v>748.4</v>
          </cell>
          <cell r="AQ223">
            <v>0</v>
          </cell>
          <cell r="AT223">
            <v>0</v>
          </cell>
          <cell r="AU223">
            <v>0</v>
          </cell>
          <cell r="AV223">
            <v>6298857</v>
          </cell>
          <cell r="AW223">
            <v>239382</v>
          </cell>
          <cell r="AX223">
            <v>268840</v>
          </cell>
          <cell r="AY223">
            <v>1134586</v>
          </cell>
          <cell r="AZ223">
            <v>1</v>
          </cell>
          <cell r="BA223">
            <v>1</v>
          </cell>
          <cell r="BB223">
            <v>0</v>
          </cell>
          <cell r="BC223">
            <v>0</v>
          </cell>
          <cell r="BE223">
            <v>6584956</v>
          </cell>
          <cell r="BF223">
            <v>10336</v>
          </cell>
          <cell r="BG223">
            <v>9373</v>
          </cell>
          <cell r="BH223">
            <v>33</v>
          </cell>
          <cell r="BI223">
            <v>62448242</v>
          </cell>
          <cell r="BJ223">
            <v>67218422</v>
          </cell>
          <cell r="BL223">
            <v>193</v>
          </cell>
          <cell r="BM223">
            <v>290</v>
          </cell>
          <cell r="BN223">
            <v>309</v>
          </cell>
          <cell r="BO223">
            <v>69</v>
          </cell>
          <cell r="BP223">
            <v>73</v>
          </cell>
          <cell r="BQ223">
            <v>57</v>
          </cell>
        </row>
        <row r="224">
          <cell r="A224">
            <v>437</v>
          </cell>
          <cell r="B224" t="str">
            <v>437 - Auburn Washburn</v>
          </cell>
          <cell r="C224" t="str">
            <v>Shawnee</v>
          </cell>
          <cell r="D224">
            <v>671423819</v>
          </cell>
          <cell r="E224">
            <v>610809073</v>
          </cell>
          <cell r="F224">
            <v>696215927</v>
          </cell>
          <cell r="G224">
            <v>589815589</v>
          </cell>
          <cell r="H224">
            <v>5901.2</v>
          </cell>
          <cell r="I224">
            <v>5838.2</v>
          </cell>
          <cell r="J224">
            <v>128</v>
          </cell>
          <cell r="K224">
            <v>49905831</v>
          </cell>
          <cell r="L224">
            <v>5994.7</v>
          </cell>
          <cell r="M224">
            <v>5944.1</v>
          </cell>
          <cell r="N224">
            <v>5879.5</v>
          </cell>
          <cell r="O224">
            <v>5723.1</v>
          </cell>
          <cell r="P224">
            <v>8175953</v>
          </cell>
          <cell r="Q224">
            <v>9211353</v>
          </cell>
          <cell r="R224">
            <v>5546529</v>
          </cell>
          <cell r="S224">
            <v>5497178</v>
          </cell>
          <cell r="T224">
            <v>3490</v>
          </cell>
          <cell r="U224">
            <v>3616</v>
          </cell>
          <cell r="V224">
            <v>0</v>
          </cell>
          <cell r="W224">
            <v>0</v>
          </cell>
          <cell r="X224">
            <v>1748</v>
          </cell>
          <cell r="Y224">
            <v>337</v>
          </cell>
          <cell r="Z224">
            <v>0.1</v>
          </cell>
          <cell r="AA224">
            <v>0</v>
          </cell>
          <cell r="AB224">
            <v>0.29609999999999997</v>
          </cell>
          <cell r="AC224">
            <v>6550193</v>
          </cell>
          <cell r="AD224">
            <v>6204451</v>
          </cell>
          <cell r="AE224">
            <v>6204451</v>
          </cell>
          <cell r="AF224">
            <v>5965.1</v>
          </cell>
          <cell r="AG224">
            <v>5943.2</v>
          </cell>
          <cell r="AH224">
            <v>5878.7</v>
          </cell>
          <cell r="AI224">
            <v>5722.2</v>
          </cell>
          <cell r="AJ224">
            <v>1.7999999999999999E-2</v>
          </cell>
          <cell r="AM224">
            <v>117</v>
          </cell>
          <cell r="AN224">
            <v>0</v>
          </cell>
          <cell r="AO224">
            <v>5675.7</v>
          </cell>
          <cell r="AQ224">
            <v>0</v>
          </cell>
          <cell r="AT224">
            <v>0</v>
          </cell>
          <cell r="AU224">
            <v>0</v>
          </cell>
          <cell r="AV224">
            <v>39227397</v>
          </cell>
          <cell r="AW224">
            <v>817869</v>
          </cell>
          <cell r="AX224">
            <v>483385</v>
          </cell>
          <cell r="AY224">
            <v>5471030</v>
          </cell>
          <cell r="AZ224">
            <v>1</v>
          </cell>
          <cell r="BA224">
            <v>1</v>
          </cell>
          <cell r="BB224">
            <v>113500</v>
          </cell>
          <cell r="BC224">
            <v>114470</v>
          </cell>
          <cell r="BE224">
            <v>40694478</v>
          </cell>
          <cell r="BF224">
            <v>2222</v>
          </cell>
          <cell r="BG224">
            <v>3624</v>
          </cell>
          <cell r="BH224">
            <v>33</v>
          </cell>
          <cell r="BI224">
            <v>730331306</v>
          </cell>
          <cell r="BJ224">
            <v>755383938</v>
          </cell>
          <cell r="BL224">
            <v>1236</v>
          </cell>
          <cell r="BM224">
            <v>1803</v>
          </cell>
          <cell r="BN224">
            <v>1820</v>
          </cell>
          <cell r="BO224">
            <v>541</v>
          </cell>
          <cell r="BP224">
            <v>324</v>
          </cell>
          <cell r="BQ224">
            <v>375</v>
          </cell>
        </row>
        <row r="225">
          <cell r="A225">
            <v>438</v>
          </cell>
          <cell r="B225" t="str">
            <v>438 - Skyline Schools</v>
          </cell>
          <cell r="C225" t="str">
            <v>Pratt</v>
          </cell>
          <cell r="D225">
            <v>38192995</v>
          </cell>
          <cell r="E225">
            <v>36091440</v>
          </cell>
          <cell r="F225">
            <v>36423358</v>
          </cell>
          <cell r="G225">
            <v>33224772</v>
          </cell>
          <cell r="H225">
            <v>351</v>
          </cell>
          <cell r="I225">
            <v>307.5</v>
          </cell>
          <cell r="J225">
            <v>490</v>
          </cell>
          <cell r="K225">
            <v>3681241</v>
          </cell>
          <cell r="L225">
            <v>361.5</v>
          </cell>
          <cell r="M225">
            <v>360.5</v>
          </cell>
          <cell r="N225">
            <v>314</v>
          </cell>
          <cell r="O225">
            <v>288</v>
          </cell>
          <cell r="P225">
            <v>455598</v>
          </cell>
          <cell r="Q225">
            <v>438397</v>
          </cell>
          <cell r="R225">
            <v>326215</v>
          </cell>
          <cell r="S225">
            <v>415786</v>
          </cell>
          <cell r="T225">
            <v>0</v>
          </cell>
          <cell r="U225">
            <v>0</v>
          </cell>
          <cell r="V225">
            <v>0</v>
          </cell>
          <cell r="W225">
            <v>0.09</v>
          </cell>
          <cell r="X225">
            <v>130</v>
          </cell>
          <cell r="Y225">
            <v>33</v>
          </cell>
          <cell r="Z225">
            <v>0.08</v>
          </cell>
          <cell r="AA225">
            <v>0</v>
          </cell>
          <cell r="AB225">
            <v>0.25950000000000001</v>
          </cell>
          <cell r="AC225">
            <v>350446</v>
          </cell>
          <cell r="AD225">
            <v>324383</v>
          </cell>
          <cell r="AE225">
            <v>324383</v>
          </cell>
          <cell r="AF225">
            <v>361.5</v>
          </cell>
          <cell r="AG225">
            <v>360.5</v>
          </cell>
          <cell r="AH225">
            <v>314</v>
          </cell>
          <cell r="AI225">
            <v>288</v>
          </cell>
          <cell r="AJ225">
            <v>0</v>
          </cell>
          <cell r="AM225">
            <v>0</v>
          </cell>
          <cell r="AN225">
            <v>0</v>
          </cell>
          <cell r="AO225">
            <v>283</v>
          </cell>
          <cell r="AQ225">
            <v>0</v>
          </cell>
          <cell r="AT225">
            <v>0</v>
          </cell>
          <cell r="AU225">
            <v>0</v>
          </cell>
          <cell r="AV225">
            <v>3334756</v>
          </cell>
          <cell r="AW225">
            <v>41534</v>
          </cell>
          <cell r="AX225">
            <v>28180</v>
          </cell>
          <cell r="AY225">
            <v>318144</v>
          </cell>
          <cell r="AZ225">
            <v>1</v>
          </cell>
          <cell r="BA225">
            <v>1</v>
          </cell>
          <cell r="BB225">
            <v>0</v>
          </cell>
          <cell r="BC225">
            <v>0</v>
          </cell>
          <cell r="BE225">
            <v>3233038</v>
          </cell>
          <cell r="BF225">
            <v>1554</v>
          </cell>
          <cell r="BG225">
            <v>2167</v>
          </cell>
          <cell r="BH225">
            <v>33</v>
          </cell>
          <cell r="BI225">
            <v>38192995</v>
          </cell>
          <cell r="BJ225">
            <v>35362474</v>
          </cell>
          <cell r="BL225">
            <v>94</v>
          </cell>
          <cell r="BM225">
            <v>167</v>
          </cell>
          <cell r="BN225">
            <v>150</v>
          </cell>
          <cell r="BO225">
            <v>52</v>
          </cell>
          <cell r="BP225">
            <v>29</v>
          </cell>
          <cell r="BQ225">
            <v>20</v>
          </cell>
        </row>
        <row r="226">
          <cell r="A226">
            <v>439</v>
          </cell>
          <cell r="B226" t="str">
            <v>439 - Sedgwick Public Schools</v>
          </cell>
          <cell r="C226" t="str">
            <v>Harvey</v>
          </cell>
          <cell r="D226">
            <v>24383786</v>
          </cell>
          <cell r="E226">
            <v>20702435</v>
          </cell>
          <cell r="F226">
            <v>26015078</v>
          </cell>
          <cell r="G226">
            <v>19650851</v>
          </cell>
          <cell r="H226">
            <v>487</v>
          </cell>
          <cell r="I226">
            <v>480.5</v>
          </cell>
          <cell r="J226">
            <v>42</v>
          </cell>
          <cell r="K226">
            <v>5163956</v>
          </cell>
          <cell r="L226">
            <v>494.5</v>
          </cell>
          <cell r="M226">
            <v>495.5</v>
          </cell>
          <cell r="N226">
            <v>490</v>
          </cell>
          <cell r="O226">
            <v>507</v>
          </cell>
          <cell r="P226">
            <v>645057</v>
          </cell>
          <cell r="Q226">
            <v>785750</v>
          </cell>
          <cell r="R226">
            <v>1167551</v>
          </cell>
          <cell r="S226">
            <v>453550</v>
          </cell>
          <cell r="T226">
            <v>0</v>
          </cell>
          <cell r="U226">
            <v>0</v>
          </cell>
          <cell r="V226">
            <v>0.34</v>
          </cell>
          <cell r="W226">
            <v>0.81</v>
          </cell>
          <cell r="X226">
            <v>153</v>
          </cell>
          <cell r="Y226">
            <v>43</v>
          </cell>
          <cell r="Z226">
            <v>0.8</v>
          </cell>
          <cell r="AA226">
            <v>0.25</v>
          </cell>
          <cell r="AB226">
            <v>0.69379999999999997</v>
          </cell>
          <cell r="AC226">
            <v>488341</v>
          </cell>
          <cell r="AD226">
            <v>475707</v>
          </cell>
          <cell r="AE226">
            <v>475707</v>
          </cell>
          <cell r="AF226">
            <v>494.5</v>
          </cell>
          <cell r="AG226">
            <v>495.5</v>
          </cell>
          <cell r="AH226">
            <v>490</v>
          </cell>
          <cell r="AI226">
            <v>507</v>
          </cell>
          <cell r="AJ226">
            <v>0</v>
          </cell>
          <cell r="AM226">
            <v>10</v>
          </cell>
          <cell r="AN226">
            <v>0</v>
          </cell>
          <cell r="AO226">
            <v>501.5</v>
          </cell>
          <cell r="AQ226">
            <v>0</v>
          </cell>
          <cell r="AT226">
            <v>0</v>
          </cell>
          <cell r="AU226">
            <v>0</v>
          </cell>
          <cell r="AV226">
            <v>4072537</v>
          </cell>
          <cell r="AW226">
            <v>152874</v>
          </cell>
          <cell r="AX226">
            <v>172696</v>
          </cell>
          <cell r="AY226">
            <v>1043081</v>
          </cell>
          <cell r="AZ226">
            <v>1</v>
          </cell>
          <cell r="BA226">
            <v>1</v>
          </cell>
          <cell r="BB226">
            <v>0</v>
          </cell>
          <cell r="BC226">
            <v>0</v>
          </cell>
          <cell r="BE226">
            <v>4374551</v>
          </cell>
          <cell r="BF226">
            <v>3419</v>
          </cell>
          <cell r="BG226">
            <v>2267</v>
          </cell>
          <cell r="BH226">
            <v>33</v>
          </cell>
          <cell r="BI226">
            <v>24383786</v>
          </cell>
          <cell r="BJ226">
            <v>26008471</v>
          </cell>
          <cell r="BL226">
            <v>130</v>
          </cell>
          <cell r="BM226">
            <v>133</v>
          </cell>
          <cell r="BN226">
            <v>151</v>
          </cell>
          <cell r="BO226">
            <v>63</v>
          </cell>
          <cell r="BP226">
            <v>47</v>
          </cell>
          <cell r="BQ226">
            <v>48</v>
          </cell>
        </row>
        <row r="227">
          <cell r="A227">
            <v>440</v>
          </cell>
          <cell r="B227" t="str">
            <v>440 - Halstead</v>
          </cell>
          <cell r="C227" t="str">
            <v>Harvey</v>
          </cell>
          <cell r="D227">
            <v>56162464</v>
          </cell>
          <cell r="E227">
            <v>47878489</v>
          </cell>
          <cell r="F227">
            <v>59550242</v>
          </cell>
          <cell r="G227">
            <v>45375166</v>
          </cell>
          <cell r="H227">
            <v>782.1</v>
          </cell>
          <cell r="I227">
            <v>754</v>
          </cell>
          <cell r="J227">
            <v>130</v>
          </cell>
          <cell r="K227">
            <v>7575041</v>
          </cell>
          <cell r="L227">
            <v>794.6</v>
          </cell>
          <cell r="M227">
            <v>797.1</v>
          </cell>
          <cell r="N227">
            <v>771</v>
          </cell>
          <cell r="O227">
            <v>744.1</v>
          </cell>
          <cell r="P227">
            <v>656168</v>
          </cell>
          <cell r="Q227">
            <v>859865</v>
          </cell>
          <cell r="R227">
            <v>1377304</v>
          </cell>
          <cell r="S227">
            <v>657735</v>
          </cell>
          <cell r="T227">
            <v>10099</v>
          </cell>
          <cell r="U227">
            <v>12984</v>
          </cell>
          <cell r="V227">
            <v>0.05</v>
          </cell>
          <cell r="W227">
            <v>0.52</v>
          </cell>
          <cell r="X227">
            <v>267</v>
          </cell>
          <cell r="Y227">
            <v>84</v>
          </cell>
          <cell r="Z227">
            <v>0.51</v>
          </cell>
          <cell r="AA227">
            <v>0</v>
          </cell>
          <cell r="AB227">
            <v>0.54239999999999999</v>
          </cell>
          <cell r="AC227">
            <v>732251</v>
          </cell>
          <cell r="AD227">
            <v>685918</v>
          </cell>
          <cell r="AE227">
            <v>685918</v>
          </cell>
          <cell r="AF227">
            <v>794.6</v>
          </cell>
          <cell r="AG227">
            <v>797.1</v>
          </cell>
          <cell r="AH227">
            <v>770</v>
          </cell>
          <cell r="AI227">
            <v>741.1</v>
          </cell>
          <cell r="AJ227">
            <v>0</v>
          </cell>
          <cell r="AM227">
            <v>4</v>
          </cell>
          <cell r="AN227">
            <v>0</v>
          </cell>
          <cell r="AO227">
            <v>724.6</v>
          </cell>
          <cell r="AQ227">
            <v>0</v>
          </cell>
          <cell r="AT227">
            <v>0</v>
          </cell>
          <cell r="AU227">
            <v>0</v>
          </cell>
          <cell r="AV227">
            <v>6490440</v>
          </cell>
          <cell r="AW227">
            <v>182732</v>
          </cell>
          <cell r="AX227">
            <v>178456</v>
          </cell>
          <cell r="AY227">
            <v>1281076</v>
          </cell>
          <cell r="AZ227">
            <v>1</v>
          </cell>
          <cell r="BA227">
            <v>1</v>
          </cell>
          <cell r="BB227">
            <v>0</v>
          </cell>
          <cell r="BC227">
            <v>0</v>
          </cell>
          <cell r="BE227">
            <v>6715176</v>
          </cell>
          <cell r="BF227">
            <v>3490</v>
          </cell>
          <cell r="BG227">
            <v>1781</v>
          </cell>
          <cell r="BH227">
            <v>33</v>
          </cell>
          <cell r="BI227">
            <v>56109718</v>
          </cell>
          <cell r="BJ227">
            <v>59509001</v>
          </cell>
          <cell r="BL227">
            <v>231</v>
          </cell>
          <cell r="BM227">
            <v>291</v>
          </cell>
          <cell r="BN227">
            <v>280</v>
          </cell>
          <cell r="BO227">
            <v>115</v>
          </cell>
          <cell r="BP227">
            <v>69</v>
          </cell>
          <cell r="BQ227">
            <v>89</v>
          </cell>
        </row>
        <row r="228">
          <cell r="A228">
            <v>443</v>
          </cell>
          <cell r="B228" t="str">
            <v>443 - Dodge City</v>
          </cell>
          <cell r="C228" t="str">
            <v>Ford</v>
          </cell>
          <cell r="D228">
            <v>290365180</v>
          </cell>
          <cell r="E228">
            <v>249499586</v>
          </cell>
          <cell r="F228">
            <v>315373649</v>
          </cell>
          <cell r="G228">
            <v>246638583</v>
          </cell>
          <cell r="H228">
            <v>6778.7</v>
          </cell>
          <cell r="I228">
            <v>6742.5</v>
          </cell>
          <cell r="J228">
            <v>425.7</v>
          </cell>
          <cell r="K228">
            <v>67370943</v>
          </cell>
          <cell r="L228">
            <v>6880.3</v>
          </cell>
          <cell r="M228">
            <v>6955.5</v>
          </cell>
          <cell r="N228">
            <v>6924.6</v>
          </cell>
          <cell r="O228">
            <v>6977.4</v>
          </cell>
          <cell r="P228">
            <v>5549961</v>
          </cell>
          <cell r="Q228">
            <v>5471631</v>
          </cell>
          <cell r="R228">
            <v>17103274</v>
          </cell>
          <cell r="S228">
            <v>4812211</v>
          </cell>
          <cell r="T228">
            <v>0</v>
          </cell>
          <cell r="U228">
            <v>0</v>
          </cell>
          <cell r="V228">
            <v>0.4</v>
          </cell>
          <cell r="W228">
            <v>0.86</v>
          </cell>
          <cell r="X228">
            <v>5107</v>
          </cell>
          <cell r="Y228">
            <v>828</v>
          </cell>
          <cell r="Z228">
            <v>0.86</v>
          </cell>
          <cell r="AA228">
            <v>0.31</v>
          </cell>
          <cell r="AB228">
            <v>0.74029999999999996</v>
          </cell>
          <cell r="AC228">
            <v>8205236</v>
          </cell>
          <cell r="AD228">
            <v>7512077</v>
          </cell>
          <cell r="AE228">
            <v>7512077</v>
          </cell>
          <cell r="AF228">
            <v>6867.1</v>
          </cell>
          <cell r="AG228">
            <v>6948.2</v>
          </cell>
          <cell r="AH228">
            <v>6911</v>
          </cell>
          <cell r="AI228">
            <v>6961.6</v>
          </cell>
          <cell r="AJ228">
            <v>0</v>
          </cell>
          <cell r="AM228">
            <v>7</v>
          </cell>
          <cell r="AN228">
            <v>0</v>
          </cell>
          <cell r="AO228">
            <v>6798.6</v>
          </cell>
          <cell r="AQ228">
            <v>0</v>
          </cell>
          <cell r="AT228">
            <v>0</v>
          </cell>
          <cell r="AU228">
            <v>0</v>
          </cell>
          <cell r="AV228">
            <v>58286846</v>
          </cell>
          <cell r="AW228">
            <v>2006805</v>
          </cell>
          <cell r="AX228">
            <v>2285681</v>
          </cell>
          <cell r="AY228">
            <v>16125962</v>
          </cell>
          <cell r="AZ228">
            <v>1</v>
          </cell>
          <cell r="BA228">
            <v>1</v>
          </cell>
          <cell r="BB228">
            <v>47680</v>
          </cell>
          <cell r="BC228">
            <v>48320</v>
          </cell>
          <cell r="BE228">
            <v>61892939</v>
          </cell>
          <cell r="BF228">
            <v>23256</v>
          </cell>
          <cell r="BG228">
            <v>28613</v>
          </cell>
          <cell r="BH228">
            <v>33</v>
          </cell>
          <cell r="BI228">
            <v>295900046</v>
          </cell>
          <cell r="BJ228">
            <v>321734387</v>
          </cell>
          <cell r="BL228">
            <v>4391</v>
          </cell>
          <cell r="BM228">
            <v>4821</v>
          </cell>
          <cell r="BN228">
            <v>5023</v>
          </cell>
          <cell r="BO228">
            <v>1281</v>
          </cell>
          <cell r="BP228">
            <v>941</v>
          </cell>
          <cell r="BQ228">
            <v>821</v>
          </cell>
        </row>
        <row r="229">
          <cell r="A229">
            <v>444</v>
          </cell>
          <cell r="B229" t="str">
            <v>444 - Little River</v>
          </cell>
          <cell r="C229" t="str">
            <v>Rice</v>
          </cell>
          <cell r="D229">
            <v>66762524</v>
          </cell>
          <cell r="E229">
            <v>63933279</v>
          </cell>
          <cell r="F229">
            <v>65622166</v>
          </cell>
          <cell r="G229">
            <v>61022661</v>
          </cell>
          <cell r="H229">
            <v>270.5</v>
          </cell>
          <cell r="I229">
            <v>273</v>
          </cell>
          <cell r="J229">
            <v>244.5</v>
          </cell>
          <cell r="K229">
            <v>3097728</v>
          </cell>
          <cell r="L229">
            <v>279.5</v>
          </cell>
          <cell r="M229">
            <v>276</v>
          </cell>
          <cell r="N229">
            <v>277</v>
          </cell>
          <cell r="O229">
            <v>280.5</v>
          </cell>
          <cell r="P229">
            <v>314994</v>
          </cell>
          <cell r="Q229">
            <v>345290</v>
          </cell>
          <cell r="R229">
            <v>0</v>
          </cell>
          <cell r="S229">
            <v>348040</v>
          </cell>
          <cell r="T229">
            <v>0</v>
          </cell>
          <cell r="U229">
            <v>0</v>
          </cell>
          <cell r="V229">
            <v>0</v>
          </cell>
          <cell r="W229">
            <v>0</v>
          </cell>
          <cell r="X229">
            <v>74</v>
          </cell>
          <cell r="Y229">
            <v>15</v>
          </cell>
          <cell r="Z229">
            <v>0</v>
          </cell>
          <cell r="AA229">
            <v>0</v>
          </cell>
          <cell r="AB229">
            <v>0</v>
          </cell>
          <cell r="AC229">
            <v>302582</v>
          </cell>
          <cell r="AD229">
            <v>292069</v>
          </cell>
          <cell r="AE229">
            <v>292069</v>
          </cell>
          <cell r="AF229">
            <v>279.5</v>
          </cell>
          <cell r="AG229">
            <v>276</v>
          </cell>
          <cell r="AH229">
            <v>277</v>
          </cell>
          <cell r="AI229">
            <v>280.5</v>
          </cell>
          <cell r="AJ229">
            <v>0</v>
          </cell>
          <cell r="AM229">
            <v>1</v>
          </cell>
          <cell r="AN229">
            <v>0</v>
          </cell>
          <cell r="AO229">
            <v>277</v>
          </cell>
          <cell r="AQ229">
            <v>0</v>
          </cell>
          <cell r="AT229">
            <v>0</v>
          </cell>
          <cell r="AU229">
            <v>0</v>
          </cell>
          <cell r="AV229">
            <v>2577582</v>
          </cell>
          <cell r="AW229">
            <v>0</v>
          </cell>
          <cell r="AX229">
            <v>0</v>
          </cell>
          <cell r="AY229">
            <v>0</v>
          </cell>
          <cell r="AZ229">
            <v>1</v>
          </cell>
          <cell r="BA229">
            <v>1</v>
          </cell>
          <cell r="BB229">
            <v>0</v>
          </cell>
          <cell r="BC229">
            <v>0</v>
          </cell>
          <cell r="BE229">
            <v>2746674</v>
          </cell>
          <cell r="BF229">
            <v>4362</v>
          </cell>
          <cell r="BG229">
            <v>4015</v>
          </cell>
          <cell r="BH229">
            <v>33</v>
          </cell>
          <cell r="BI229">
            <v>66144732</v>
          </cell>
          <cell r="BJ229">
            <v>65008583</v>
          </cell>
          <cell r="BL229">
            <v>46</v>
          </cell>
          <cell r="BM229">
            <v>69</v>
          </cell>
          <cell r="BN229">
            <v>71</v>
          </cell>
          <cell r="BO229">
            <v>12</v>
          </cell>
          <cell r="BP229">
            <v>17</v>
          </cell>
          <cell r="BQ229">
            <v>11</v>
          </cell>
        </row>
        <row r="230">
          <cell r="A230">
            <v>445</v>
          </cell>
          <cell r="B230" t="str">
            <v>445 - Coffeyville</v>
          </cell>
          <cell r="C230" t="str">
            <v>Montgomery</v>
          </cell>
          <cell r="D230">
            <v>146038514</v>
          </cell>
          <cell r="E230">
            <v>124564004</v>
          </cell>
          <cell r="F230">
            <v>156256061</v>
          </cell>
          <cell r="G230">
            <v>124448133</v>
          </cell>
          <cell r="H230">
            <v>1571.3</v>
          </cell>
          <cell r="I230">
            <v>1599.8</v>
          </cell>
          <cell r="J230">
            <v>120</v>
          </cell>
          <cell r="K230">
            <v>15589423</v>
          </cell>
          <cell r="L230">
            <v>1688</v>
          </cell>
          <cell r="M230">
            <v>1666.8</v>
          </cell>
          <cell r="N230">
            <v>1696.9</v>
          </cell>
          <cell r="O230">
            <v>1665.4</v>
          </cell>
          <cell r="P230">
            <v>1613209</v>
          </cell>
          <cell r="Q230">
            <v>1713155</v>
          </cell>
          <cell r="R230">
            <v>2113145</v>
          </cell>
          <cell r="S230">
            <v>1548644</v>
          </cell>
          <cell r="T230">
            <v>0</v>
          </cell>
          <cell r="U230">
            <v>0</v>
          </cell>
          <cell r="V230">
            <v>0</v>
          </cell>
          <cell r="W230">
            <v>0.38</v>
          </cell>
          <cell r="X230">
            <v>1200</v>
          </cell>
          <cell r="Y230">
            <v>142</v>
          </cell>
          <cell r="Z230">
            <v>0.37</v>
          </cell>
          <cell r="AA230">
            <v>0</v>
          </cell>
          <cell r="AB230">
            <v>0.45319999999999999</v>
          </cell>
          <cell r="AC230">
            <v>1536542</v>
          </cell>
          <cell r="AD230">
            <v>1430280</v>
          </cell>
          <cell r="AE230">
            <v>1430280</v>
          </cell>
          <cell r="AF230">
            <v>1669.7</v>
          </cell>
          <cell r="AG230">
            <v>1631.3</v>
          </cell>
          <cell r="AH230">
            <v>1655.8</v>
          </cell>
          <cell r="AI230">
            <v>1638.9</v>
          </cell>
          <cell r="AJ230">
            <v>0</v>
          </cell>
          <cell r="AM230">
            <v>0</v>
          </cell>
          <cell r="AN230">
            <v>0</v>
          </cell>
          <cell r="AO230">
            <v>1576.9</v>
          </cell>
          <cell r="AQ230">
            <v>0</v>
          </cell>
          <cell r="AT230">
            <v>0</v>
          </cell>
          <cell r="AU230">
            <v>0</v>
          </cell>
          <cell r="AV230">
            <v>12861534</v>
          </cell>
          <cell r="AW230">
            <v>489758</v>
          </cell>
          <cell r="AX230">
            <v>586587</v>
          </cell>
          <cell r="AY230">
            <v>2001433</v>
          </cell>
          <cell r="AZ230">
            <v>1</v>
          </cell>
          <cell r="BA230">
            <v>1</v>
          </cell>
          <cell r="BB230">
            <v>88680</v>
          </cell>
          <cell r="BC230">
            <v>89890</v>
          </cell>
          <cell r="BE230">
            <v>13875872</v>
          </cell>
          <cell r="BF230">
            <v>0</v>
          </cell>
          <cell r="BG230">
            <v>0</v>
          </cell>
          <cell r="BH230">
            <v>33</v>
          </cell>
          <cell r="BI230">
            <v>146071600</v>
          </cell>
          <cell r="BJ230">
            <v>156065647</v>
          </cell>
          <cell r="BL230">
            <v>1153</v>
          </cell>
          <cell r="BM230">
            <v>1124</v>
          </cell>
          <cell r="BN230">
            <v>1068</v>
          </cell>
          <cell r="BO230">
            <v>137</v>
          </cell>
          <cell r="BP230">
            <v>146</v>
          </cell>
          <cell r="BQ230">
            <v>95</v>
          </cell>
        </row>
        <row r="231">
          <cell r="A231">
            <v>446</v>
          </cell>
          <cell r="B231" t="str">
            <v>446 - Independence</v>
          </cell>
          <cell r="C231" t="str">
            <v>Montgomery</v>
          </cell>
          <cell r="D231">
            <v>136535122</v>
          </cell>
          <cell r="E231">
            <v>114269710</v>
          </cell>
          <cell r="F231">
            <v>145319148</v>
          </cell>
          <cell r="G231">
            <v>110959775</v>
          </cell>
          <cell r="H231">
            <v>1826.9</v>
          </cell>
          <cell r="I231">
            <v>1674.1</v>
          </cell>
          <cell r="J231">
            <v>210.9</v>
          </cell>
          <cell r="K231">
            <v>15641993</v>
          </cell>
          <cell r="L231">
            <v>1875.1</v>
          </cell>
          <cell r="M231">
            <v>1887.3</v>
          </cell>
          <cell r="N231">
            <v>1734.2</v>
          </cell>
          <cell r="O231">
            <v>1688.8</v>
          </cell>
          <cell r="P231">
            <v>1718698</v>
          </cell>
          <cell r="Q231">
            <v>1760948</v>
          </cell>
          <cell r="R231">
            <v>2945856</v>
          </cell>
          <cell r="S231">
            <v>1410849</v>
          </cell>
          <cell r="T231">
            <v>15900</v>
          </cell>
          <cell r="U231">
            <v>5766</v>
          </cell>
          <cell r="V231">
            <v>0</v>
          </cell>
          <cell r="W231">
            <v>0.47</v>
          </cell>
          <cell r="X231">
            <v>1058</v>
          </cell>
          <cell r="Y231">
            <v>179</v>
          </cell>
          <cell r="Z231">
            <v>0.46</v>
          </cell>
          <cell r="AA231">
            <v>0</v>
          </cell>
          <cell r="AB231">
            <v>0.52559999999999996</v>
          </cell>
          <cell r="AC231">
            <v>1690845</v>
          </cell>
          <cell r="AD231">
            <v>1517590</v>
          </cell>
          <cell r="AE231">
            <v>1517590</v>
          </cell>
          <cell r="AF231">
            <v>1855</v>
          </cell>
          <cell r="AG231">
            <v>1854.9</v>
          </cell>
          <cell r="AH231">
            <v>1705.6</v>
          </cell>
          <cell r="AI231">
            <v>1676.6</v>
          </cell>
          <cell r="AJ231">
            <v>0</v>
          </cell>
          <cell r="AM231">
            <v>0</v>
          </cell>
          <cell r="AN231">
            <v>1</v>
          </cell>
          <cell r="AO231">
            <v>1645.8</v>
          </cell>
          <cell r="AQ231">
            <v>0</v>
          </cell>
          <cell r="AT231">
            <v>0</v>
          </cell>
          <cell r="AU231">
            <v>0</v>
          </cell>
          <cell r="AV231">
            <v>13621639</v>
          </cell>
          <cell r="AW231">
            <v>665380</v>
          </cell>
          <cell r="AX231">
            <v>593632</v>
          </cell>
          <cell r="AY231">
            <v>2997025</v>
          </cell>
          <cell r="AZ231">
            <v>1</v>
          </cell>
          <cell r="BA231">
            <v>1</v>
          </cell>
          <cell r="BB231">
            <v>0</v>
          </cell>
          <cell r="BC231">
            <v>0</v>
          </cell>
          <cell r="BE231">
            <v>13880654</v>
          </cell>
          <cell r="BF231">
            <v>4596</v>
          </cell>
          <cell r="BG231">
            <v>3770</v>
          </cell>
          <cell r="BH231">
            <v>33</v>
          </cell>
          <cell r="BI231">
            <v>136690141</v>
          </cell>
          <cell r="BJ231">
            <v>144154083</v>
          </cell>
          <cell r="BL231">
            <v>960</v>
          </cell>
          <cell r="BM231">
            <v>1144</v>
          </cell>
          <cell r="BN231">
            <v>1057</v>
          </cell>
          <cell r="BO231">
            <v>229</v>
          </cell>
          <cell r="BP231">
            <v>157</v>
          </cell>
          <cell r="BQ231">
            <v>171</v>
          </cell>
        </row>
        <row r="232">
          <cell r="A232">
            <v>447</v>
          </cell>
          <cell r="B232" t="str">
            <v>447 - Cherryvale</v>
          </cell>
          <cell r="C232" t="str">
            <v>Montgomery</v>
          </cell>
          <cell r="D232">
            <v>32562026</v>
          </cell>
          <cell r="E232">
            <v>25482434</v>
          </cell>
          <cell r="F232">
            <v>34030376</v>
          </cell>
          <cell r="G232">
            <v>23665736</v>
          </cell>
          <cell r="H232">
            <v>671</v>
          </cell>
          <cell r="I232">
            <v>659</v>
          </cell>
          <cell r="J232">
            <v>140</v>
          </cell>
          <cell r="K232">
            <v>6997377</v>
          </cell>
          <cell r="L232">
            <v>719.6</v>
          </cell>
          <cell r="M232">
            <v>681.8</v>
          </cell>
          <cell r="N232">
            <v>674.8</v>
          </cell>
          <cell r="O232">
            <v>662.9</v>
          </cell>
          <cell r="P232">
            <v>585969</v>
          </cell>
          <cell r="Q232">
            <v>630292</v>
          </cell>
          <cell r="R232">
            <v>1650142</v>
          </cell>
          <cell r="S232">
            <v>609546</v>
          </cell>
          <cell r="T232">
            <v>10953</v>
          </cell>
          <cell r="U232">
            <v>10452</v>
          </cell>
          <cell r="V232">
            <v>0.33</v>
          </cell>
          <cell r="W232">
            <v>0.81</v>
          </cell>
          <cell r="X232">
            <v>369</v>
          </cell>
          <cell r="Y232">
            <v>65</v>
          </cell>
          <cell r="Z232">
            <v>0.8</v>
          </cell>
          <cell r="AA232">
            <v>0.25</v>
          </cell>
          <cell r="AB232">
            <v>0.70499999999999996</v>
          </cell>
          <cell r="AC232">
            <v>769690</v>
          </cell>
          <cell r="AD232">
            <v>704989</v>
          </cell>
          <cell r="AE232">
            <v>704989</v>
          </cell>
          <cell r="AF232">
            <v>718.6</v>
          </cell>
          <cell r="AG232">
            <v>676</v>
          </cell>
          <cell r="AH232">
            <v>671</v>
          </cell>
          <cell r="AI232">
            <v>656.6</v>
          </cell>
          <cell r="AJ232">
            <v>0</v>
          </cell>
          <cell r="AM232">
            <v>0</v>
          </cell>
          <cell r="AN232">
            <v>0</v>
          </cell>
          <cell r="AO232">
            <v>644.6</v>
          </cell>
          <cell r="AQ232">
            <v>0</v>
          </cell>
          <cell r="AT232">
            <v>0</v>
          </cell>
          <cell r="AU232">
            <v>0</v>
          </cell>
          <cell r="AV232">
            <v>6394453</v>
          </cell>
          <cell r="AW232">
            <v>215649</v>
          </cell>
          <cell r="AX232">
            <v>231029</v>
          </cell>
          <cell r="AY232">
            <v>1679300</v>
          </cell>
          <cell r="AZ232">
            <v>1</v>
          </cell>
          <cell r="BA232">
            <v>1</v>
          </cell>
          <cell r="BB232">
            <v>0</v>
          </cell>
          <cell r="BC232">
            <v>0</v>
          </cell>
          <cell r="BE232">
            <v>6366779</v>
          </cell>
          <cell r="BF232">
            <v>1687</v>
          </cell>
          <cell r="BG232">
            <v>2346</v>
          </cell>
          <cell r="BH232">
            <v>33</v>
          </cell>
          <cell r="BI232">
            <v>32562026</v>
          </cell>
          <cell r="BJ232">
            <v>33996103</v>
          </cell>
          <cell r="BL232">
            <v>351</v>
          </cell>
          <cell r="BM232">
            <v>353</v>
          </cell>
          <cell r="BN232">
            <v>400</v>
          </cell>
          <cell r="BO232">
            <v>95</v>
          </cell>
          <cell r="BP232">
            <v>66</v>
          </cell>
          <cell r="BQ232">
            <v>62</v>
          </cell>
        </row>
        <row r="233">
          <cell r="A233">
            <v>448</v>
          </cell>
          <cell r="B233" t="str">
            <v>448 - Inman</v>
          </cell>
          <cell r="C233" t="str">
            <v>McPherson</v>
          </cell>
          <cell r="D233">
            <v>51610886</v>
          </cell>
          <cell r="E233">
            <v>47005647</v>
          </cell>
          <cell r="F233">
            <v>51802017</v>
          </cell>
          <cell r="G233">
            <v>43805705</v>
          </cell>
          <cell r="H233">
            <v>395</v>
          </cell>
          <cell r="I233">
            <v>408.5</v>
          </cell>
          <cell r="J233">
            <v>144</v>
          </cell>
          <cell r="K233">
            <v>4347575</v>
          </cell>
          <cell r="L233">
            <v>407</v>
          </cell>
          <cell r="M233">
            <v>402.5</v>
          </cell>
          <cell r="N233">
            <v>417.5</v>
          </cell>
          <cell r="O233">
            <v>417.6</v>
          </cell>
          <cell r="P233">
            <v>522192</v>
          </cell>
          <cell r="Q233">
            <v>534997</v>
          </cell>
          <cell r="R233">
            <v>267668</v>
          </cell>
          <cell r="S233">
            <v>403182</v>
          </cell>
          <cell r="T233">
            <v>6124</v>
          </cell>
          <cell r="U233">
            <v>7258</v>
          </cell>
          <cell r="V233">
            <v>0</v>
          </cell>
          <cell r="W233">
            <v>7.0000000000000007E-2</v>
          </cell>
          <cell r="X233">
            <v>141</v>
          </cell>
          <cell r="Y233">
            <v>29</v>
          </cell>
          <cell r="Z233">
            <v>7.0000000000000007E-2</v>
          </cell>
          <cell r="AA233">
            <v>0</v>
          </cell>
          <cell r="AB233">
            <v>0.2172</v>
          </cell>
          <cell r="AC233">
            <v>413926</v>
          </cell>
          <cell r="AD233">
            <v>417261</v>
          </cell>
          <cell r="AE233">
            <v>417261</v>
          </cell>
          <cell r="AF233">
            <v>407</v>
          </cell>
          <cell r="AG233">
            <v>402.5</v>
          </cell>
          <cell r="AH233">
            <v>417.5</v>
          </cell>
          <cell r="AI233">
            <v>417.6</v>
          </cell>
          <cell r="AJ233">
            <v>0</v>
          </cell>
          <cell r="AM233">
            <v>2</v>
          </cell>
          <cell r="AN233">
            <v>0</v>
          </cell>
          <cell r="AO233">
            <v>412.1</v>
          </cell>
          <cell r="AQ233">
            <v>0</v>
          </cell>
          <cell r="AT233">
            <v>0</v>
          </cell>
          <cell r="AU233">
            <v>0</v>
          </cell>
          <cell r="AV233">
            <v>3518189</v>
          </cell>
          <cell r="AW233">
            <v>0</v>
          </cell>
          <cell r="AX233">
            <v>33139</v>
          </cell>
          <cell r="AY233">
            <v>223723</v>
          </cell>
          <cell r="AZ233">
            <v>1</v>
          </cell>
          <cell r="BA233">
            <v>1</v>
          </cell>
          <cell r="BB233">
            <v>0</v>
          </cell>
          <cell r="BC233">
            <v>0</v>
          </cell>
          <cell r="BE233">
            <v>3812578</v>
          </cell>
          <cell r="BF233">
            <v>1808</v>
          </cell>
          <cell r="BG233">
            <v>2474</v>
          </cell>
          <cell r="BH233">
            <v>33</v>
          </cell>
          <cell r="BI233">
            <v>51652401</v>
          </cell>
          <cell r="BJ233">
            <v>52007095</v>
          </cell>
          <cell r="BL233">
            <v>72</v>
          </cell>
          <cell r="BM233">
            <v>107</v>
          </cell>
          <cell r="BN233">
            <v>125</v>
          </cell>
          <cell r="BO233">
            <v>25</v>
          </cell>
          <cell r="BP233">
            <v>19</v>
          </cell>
          <cell r="BQ233">
            <v>27</v>
          </cell>
        </row>
        <row r="234">
          <cell r="A234">
            <v>449</v>
          </cell>
          <cell r="B234" t="str">
            <v>449 - Easton</v>
          </cell>
          <cell r="C234" t="str">
            <v>Leavenworth</v>
          </cell>
          <cell r="D234">
            <v>63104806</v>
          </cell>
          <cell r="E234">
            <v>56325726</v>
          </cell>
          <cell r="F234">
            <v>63888301</v>
          </cell>
          <cell r="G234">
            <v>51930924</v>
          </cell>
          <cell r="H234">
            <v>612.29999999999995</v>
          </cell>
          <cell r="I234">
            <v>633</v>
          </cell>
          <cell r="J234">
            <v>117</v>
          </cell>
          <cell r="K234">
            <v>6424559</v>
          </cell>
          <cell r="L234">
            <v>627.9</v>
          </cell>
          <cell r="M234">
            <v>623.29999999999995</v>
          </cell>
          <cell r="N234">
            <v>647</v>
          </cell>
          <cell r="O234">
            <v>662.3</v>
          </cell>
          <cell r="P234">
            <v>779923</v>
          </cell>
          <cell r="Q234">
            <v>784220</v>
          </cell>
          <cell r="R234">
            <v>889597</v>
          </cell>
          <cell r="S234">
            <v>742094</v>
          </cell>
          <cell r="T234">
            <v>7959</v>
          </cell>
          <cell r="U234">
            <v>8430</v>
          </cell>
          <cell r="V234">
            <v>0</v>
          </cell>
          <cell r="W234">
            <v>0.36</v>
          </cell>
          <cell r="X234">
            <v>137</v>
          </cell>
          <cell r="Y234">
            <v>44</v>
          </cell>
          <cell r="Z234">
            <v>0.35</v>
          </cell>
          <cell r="AA234">
            <v>0</v>
          </cell>
          <cell r="AB234">
            <v>0.40920000000000001</v>
          </cell>
          <cell r="AC234">
            <v>631968</v>
          </cell>
          <cell r="AD234">
            <v>597741</v>
          </cell>
          <cell r="AE234">
            <v>597741</v>
          </cell>
          <cell r="AF234">
            <v>626.9</v>
          </cell>
          <cell r="AG234">
            <v>623.29999999999995</v>
          </cell>
          <cell r="AH234">
            <v>647</v>
          </cell>
          <cell r="AI234">
            <v>662.3</v>
          </cell>
          <cell r="AJ234">
            <v>5.7000000000000002E-3</v>
          </cell>
          <cell r="AM234">
            <v>16</v>
          </cell>
          <cell r="AN234">
            <v>0</v>
          </cell>
          <cell r="AO234">
            <v>643.29999999999995</v>
          </cell>
          <cell r="AQ234">
            <v>0</v>
          </cell>
          <cell r="AT234">
            <v>0</v>
          </cell>
          <cell r="AU234">
            <v>0</v>
          </cell>
          <cell r="AV234">
            <v>5127721</v>
          </cell>
          <cell r="AW234">
            <v>176693</v>
          </cell>
          <cell r="AX234">
            <v>142976</v>
          </cell>
          <cell r="AY234">
            <v>851794</v>
          </cell>
          <cell r="AZ234">
            <v>1</v>
          </cell>
          <cell r="BA234">
            <v>1</v>
          </cell>
          <cell r="BB234">
            <v>0</v>
          </cell>
          <cell r="BC234">
            <v>0</v>
          </cell>
          <cell r="BE234">
            <v>5639537</v>
          </cell>
          <cell r="BF234">
            <v>3502</v>
          </cell>
          <cell r="BG234">
            <v>2809</v>
          </cell>
          <cell r="BH234">
            <v>32.5</v>
          </cell>
          <cell r="BI234">
            <v>63104806</v>
          </cell>
          <cell r="BJ234">
            <v>63888301</v>
          </cell>
          <cell r="BL234">
            <v>76</v>
          </cell>
          <cell r="BM234">
            <v>126</v>
          </cell>
          <cell r="BN234">
            <v>126</v>
          </cell>
          <cell r="BO234">
            <v>41</v>
          </cell>
          <cell r="BP234">
            <v>54</v>
          </cell>
          <cell r="BQ234">
            <v>44</v>
          </cell>
        </row>
        <row r="235">
          <cell r="A235">
            <v>450</v>
          </cell>
          <cell r="B235" t="str">
            <v>450 - Shawnee Heights</v>
          </cell>
          <cell r="C235" t="str">
            <v>Shawnee</v>
          </cell>
          <cell r="D235">
            <v>272588985</v>
          </cell>
          <cell r="E235">
            <v>234373609</v>
          </cell>
          <cell r="F235">
            <v>283220022</v>
          </cell>
          <cell r="G235">
            <v>216162374</v>
          </cell>
          <cell r="H235">
            <v>3603.7</v>
          </cell>
          <cell r="I235">
            <v>3506.4</v>
          </cell>
          <cell r="J235">
            <v>140</v>
          </cell>
          <cell r="K235">
            <v>30422639</v>
          </cell>
          <cell r="L235">
            <v>3605.5</v>
          </cell>
          <cell r="M235">
            <v>3637.2</v>
          </cell>
          <cell r="N235">
            <v>3555.2</v>
          </cell>
          <cell r="O235">
            <v>3581.2</v>
          </cell>
          <cell r="P235">
            <v>4344590</v>
          </cell>
          <cell r="Q235">
            <v>5107537</v>
          </cell>
          <cell r="R235">
            <v>5730646</v>
          </cell>
          <cell r="S235">
            <v>3011455</v>
          </cell>
          <cell r="T235">
            <v>10412</v>
          </cell>
          <cell r="U235">
            <v>9686</v>
          </cell>
          <cell r="V235">
            <v>0.06</v>
          </cell>
          <cell r="W235">
            <v>0.5</v>
          </cell>
          <cell r="X235">
            <v>1174</v>
          </cell>
          <cell r="Y235">
            <v>260</v>
          </cell>
          <cell r="Z235">
            <v>0.52</v>
          </cell>
          <cell r="AA235">
            <v>0</v>
          </cell>
          <cell r="AB235">
            <v>0.53759999999999997</v>
          </cell>
          <cell r="AC235">
            <v>3839945</v>
          </cell>
          <cell r="AD235">
            <v>3827495</v>
          </cell>
          <cell r="AE235">
            <v>3827495</v>
          </cell>
          <cell r="AF235">
            <v>3576.5</v>
          </cell>
          <cell r="AG235">
            <v>3622.7</v>
          </cell>
          <cell r="AH235">
            <v>3525.4</v>
          </cell>
          <cell r="AI235">
            <v>3561.7</v>
          </cell>
          <cell r="AJ235">
            <v>0</v>
          </cell>
          <cell r="AM235">
            <v>81</v>
          </cell>
          <cell r="AN235">
            <v>0</v>
          </cell>
          <cell r="AO235">
            <v>3543.2</v>
          </cell>
          <cell r="AQ235">
            <v>0</v>
          </cell>
          <cell r="AT235">
            <v>0</v>
          </cell>
          <cell r="AU235">
            <v>0</v>
          </cell>
          <cell r="AV235">
            <v>24159531</v>
          </cell>
          <cell r="AW235">
            <v>1264910</v>
          </cell>
          <cell r="AX235">
            <v>1267042</v>
          </cell>
          <cell r="AY235">
            <v>5520538</v>
          </cell>
          <cell r="AZ235">
            <v>1</v>
          </cell>
          <cell r="BA235">
            <v>1</v>
          </cell>
          <cell r="BB235">
            <v>0</v>
          </cell>
          <cell r="BC235">
            <v>0</v>
          </cell>
          <cell r="BE235">
            <v>25315102</v>
          </cell>
          <cell r="BF235">
            <v>25004</v>
          </cell>
          <cell r="BG235">
            <v>29765</v>
          </cell>
          <cell r="BH235">
            <v>33</v>
          </cell>
          <cell r="BI235">
            <v>282345894</v>
          </cell>
          <cell r="BJ235">
            <v>293296802</v>
          </cell>
          <cell r="BL235">
            <v>835</v>
          </cell>
          <cell r="BM235">
            <v>1110</v>
          </cell>
          <cell r="BN235">
            <v>1142</v>
          </cell>
          <cell r="BO235">
            <v>351</v>
          </cell>
          <cell r="BP235">
            <v>200</v>
          </cell>
          <cell r="BQ235">
            <v>256</v>
          </cell>
        </row>
        <row r="236">
          <cell r="A236">
            <v>452</v>
          </cell>
          <cell r="B236" t="str">
            <v>452 - Stanton County</v>
          </cell>
          <cell r="C236" t="str">
            <v>Stanton</v>
          </cell>
          <cell r="D236">
            <v>49561377</v>
          </cell>
          <cell r="E236">
            <v>46127005</v>
          </cell>
          <cell r="F236">
            <v>39504465</v>
          </cell>
          <cell r="G236">
            <v>34387498</v>
          </cell>
          <cell r="H236">
            <v>398.5</v>
          </cell>
          <cell r="I236">
            <v>401.9</v>
          </cell>
          <cell r="J236">
            <v>690</v>
          </cell>
          <cell r="K236">
            <v>4527200</v>
          </cell>
          <cell r="L236">
            <v>412</v>
          </cell>
          <cell r="M236">
            <v>402.5</v>
          </cell>
          <cell r="N236">
            <v>410.4</v>
          </cell>
          <cell r="O236">
            <v>405</v>
          </cell>
          <cell r="P236">
            <v>293293</v>
          </cell>
          <cell r="Q236">
            <v>300932</v>
          </cell>
          <cell r="R236">
            <v>301514</v>
          </cell>
          <cell r="S236">
            <v>289235</v>
          </cell>
          <cell r="T236">
            <v>0</v>
          </cell>
          <cell r="U236">
            <v>0</v>
          </cell>
          <cell r="V236">
            <v>0</v>
          </cell>
          <cell r="W236">
            <v>0.34</v>
          </cell>
          <cell r="X236">
            <v>220</v>
          </cell>
          <cell r="Y236">
            <v>41</v>
          </cell>
          <cell r="Z236">
            <v>0.33</v>
          </cell>
          <cell r="AA236">
            <v>0</v>
          </cell>
          <cell r="AB236">
            <v>0.25469999999999998</v>
          </cell>
          <cell r="AC236">
            <v>399706</v>
          </cell>
          <cell r="AD236">
            <v>394379</v>
          </cell>
          <cell r="AE236">
            <v>394379</v>
          </cell>
          <cell r="AF236">
            <v>412</v>
          </cell>
          <cell r="AG236">
            <v>402.5</v>
          </cell>
          <cell r="AH236">
            <v>410.4</v>
          </cell>
          <cell r="AI236">
            <v>405</v>
          </cell>
          <cell r="AJ236">
            <v>0</v>
          </cell>
          <cell r="AM236">
            <v>0</v>
          </cell>
          <cell r="AN236">
            <v>0</v>
          </cell>
          <cell r="AO236">
            <v>401</v>
          </cell>
          <cell r="AQ236">
            <v>0</v>
          </cell>
          <cell r="AT236">
            <v>0</v>
          </cell>
          <cell r="AU236">
            <v>0</v>
          </cell>
          <cell r="AV236">
            <v>4025391</v>
          </cell>
          <cell r="AW236">
            <v>0</v>
          </cell>
          <cell r="AX236">
            <v>13000</v>
          </cell>
          <cell r="AY236">
            <v>324912</v>
          </cell>
          <cell r="AZ236">
            <v>1</v>
          </cell>
          <cell r="BA236">
            <v>1</v>
          </cell>
          <cell r="BB236">
            <v>0</v>
          </cell>
          <cell r="BC236">
            <v>0</v>
          </cell>
          <cell r="BE236">
            <v>4217157</v>
          </cell>
          <cell r="BF236">
            <v>370</v>
          </cell>
          <cell r="BG236">
            <v>914</v>
          </cell>
          <cell r="BH236">
            <v>33</v>
          </cell>
          <cell r="BI236">
            <v>49561377</v>
          </cell>
          <cell r="BJ236">
            <v>39504465</v>
          </cell>
          <cell r="BL236">
            <v>146</v>
          </cell>
          <cell r="BM236">
            <v>192</v>
          </cell>
          <cell r="BN236">
            <v>207</v>
          </cell>
          <cell r="BO236">
            <v>89</v>
          </cell>
          <cell r="BP236">
            <v>42</v>
          </cell>
          <cell r="BQ236">
            <v>47</v>
          </cell>
        </row>
        <row r="237">
          <cell r="A237">
            <v>453</v>
          </cell>
          <cell r="B237" t="str">
            <v>453 - Leavenworth</v>
          </cell>
          <cell r="C237" t="str">
            <v>Leavenworth</v>
          </cell>
          <cell r="D237">
            <v>285094012</v>
          </cell>
          <cell r="E237">
            <v>240524425</v>
          </cell>
          <cell r="F237">
            <v>295136697</v>
          </cell>
          <cell r="G237">
            <v>217554278</v>
          </cell>
          <cell r="H237">
            <v>3454.3</v>
          </cell>
          <cell r="I237">
            <v>3336.7</v>
          </cell>
          <cell r="J237">
            <v>17</v>
          </cell>
          <cell r="K237">
            <v>29555696</v>
          </cell>
          <cell r="L237">
            <v>3592.7</v>
          </cell>
          <cell r="M237">
            <v>3519.7</v>
          </cell>
          <cell r="N237">
            <v>3386.1</v>
          </cell>
          <cell r="O237">
            <v>3187</v>
          </cell>
          <cell r="P237">
            <v>3925771</v>
          </cell>
          <cell r="Q237">
            <v>4750965</v>
          </cell>
          <cell r="R237">
            <v>5311322</v>
          </cell>
          <cell r="S237">
            <v>3833833</v>
          </cell>
          <cell r="T237">
            <v>0</v>
          </cell>
          <cell r="U237">
            <v>0</v>
          </cell>
          <cell r="V237">
            <v>0</v>
          </cell>
          <cell r="W237">
            <v>0.42</v>
          </cell>
          <cell r="X237">
            <v>1569</v>
          </cell>
          <cell r="Y237">
            <v>336</v>
          </cell>
          <cell r="Z237">
            <v>0.41</v>
          </cell>
          <cell r="AA237">
            <v>0</v>
          </cell>
          <cell r="AB237">
            <v>0.49509999999999998</v>
          </cell>
          <cell r="AC237">
            <v>3976877</v>
          </cell>
          <cell r="AD237">
            <v>3979598</v>
          </cell>
          <cell r="AE237">
            <v>3979598</v>
          </cell>
          <cell r="AF237">
            <v>3508.7</v>
          </cell>
          <cell r="AG237">
            <v>3483.8</v>
          </cell>
          <cell r="AH237">
            <v>3363.2</v>
          </cell>
          <cell r="AI237">
            <v>3166</v>
          </cell>
          <cell r="AJ237">
            <v>0</v>
          </cell>
          <cell r="AM237">
            <v>359</v>
          </cell>
          <cell r="AN237">
            <v>1</v>
          </cell>
          <cell r="AO237">
            <v>3143</v>
          </cell>
          <cell r="AQ237">
            <v>0</v>
          </cell>
          <cell r="AT237">
            <v>0</v>
          </cell>
          <cell r="AU237">
            <v>0</v>
          </cell>
          <cell r="AV237">
            <v>24322823</v>
          </cell>
          <cell r="AW237">
            <v>1222612</v>
          </cell>
          <cell r="AX237">
            <v>843404</v>
          </cell>
          <cell r="AY237">
            <v>5118920</v>
          </cell>
          <cell r="AZ237">
            <v>1</v>
          </cell>
          <cell r="BA237">
            <v>1</v>
          </cell>
          <cell r="BB237">
            <v>0</v>
          </cell>
          <cell r="BC237">
            <v>201820</v>
          </cell>
          <cell r="BE237">
            <v>24798644</v>
          </cell>
          <cell r="BF237">
            <v>0</v>
          </cell>
          <cell r="BG237">
            <v>0</v>
          </cell>
          <cell r="BH237">
            <v>33</v>
          </cell>
          <cell r="BI237">
            <v>278039968</v>
          </cell>
          <cell r="BJ237">
            <v>287255966</v>
          </cell>
          <cell r="BL237">
            <v>1351</v>
          </cell>
          <cell r="BM237">
            <v>1879</v>
          </cell>
          <cell r="BN237">
            <v>1699</v>
          </cell>
          <cell r="BO237">
            <v>267</v>
          </cell>
          <cell r="BP237">
            <v>204</v>
          </cell>
          <cell r="BQ237">
            <v>352</v>
          </cell>
        </row>
        <row r="238">
          <cell r="A238">
            <v>454</v>
          </cell>
          <cell r="B238" t="str">
            <v>454 - Burlingame Public School</v>
          </cell>
          <cell r="C238" t="str">
            <v>Osage</v>
          </cell>
          <cell r="D238">
            <v>17253216</v>
          </cell>
          <cell r="E238">
            <v>13927067</v>
          </cell>
          <cell r="F238">
            <v>17636721</v>
          </cell>
          <cell r="G238">
            <v>12149511</v>
          </cell>
          <cell r="H238">
            <v>284.3</v>
          </cell>
          <cell r="I238">
            <v>267</v>
          </cell>
          <cell r="J238">
            <v>74</v>
          </cell>
          <cell r="K238">
            <v>3099341</v>
          </cell>
          <cell r="L238">
            <v>267</v>
          </cell>
          <cell r="M238">
            <v>285.3</v>
          </cell>
          <cell r="N238">
            <v>269.5</v>
          </cell>
          <cell r="O238">
            <v>280</v>
          </cell>
          <cell r="P238">
            <v>323620</v>
          </cell>
          <cell r="Q238">
            <v>400662</v>
          </cell>
          <cell r="R238">
            <v>625288</v>
          </cell>
          <cell r="S238">
            <v>386535</v>
          </cell>
          <cell r="T238">
            <v>7646</v>
          </cell>
          <cell r="U238">
            <v>13664</v>
          </cell>
          <cell r="V238">
            <v>0.22</v>
          </cell>
          <cell r="W238">
            <v>0.69</v>
          </cell>
          <cell r="X238">
            <v>112</v>
          </cell>
          <cell r="Y238">
            <v>19</v>
          </cell>
          <cell r="Z238">
            <v>0.68</v>
          </cell>
          <cell r="AA238">
            <v>0.13</v>
          </cell>
          <cell r="AB238">
            <v>0.61870000000000003</v>
          </cell>
          <cell r="AC238">
            <v>255905</v>
          </cell>
          <cell r="AD238">
            <v>254679</v>
          </cell>
          <cell r="AE238">
            <v>254679</v>
          </cell>
          <cell r="AF238">
            <v>267</v>
          </cell>
          <cell r="AG238">
            <v>285.3</v>
          </cell>
          <cell r="AH238">
            <v>269.5</v>
          </cell>
          <cell r="AI238">
            <v>280</v>
          </cell>
          <cell r="AJ238">
            <v>0</v>
          </cell>
          <cell r="AM238">
            <v>0</v>
          </cell>
          <cell r="AN238">
            <v>0</v>
          </cell>
          <cell r="AO238">
            <v>278</v>
          </cell>
          <cell r="AQ238">
            <v>0</v>
          </cell>
          <cell r="AT238">
            <v>0</v>
          </cell>
          <cell r="AU238">
            <v>0</v>
          </cell>
          <cell r="AV238">
            <v>2619788</v>
          </cell>
          <cell r="AW238">
            <v>95214</v>
          </cell>
          <cell r="AX238">
            <v>95225</v>
          </cell>
          <cell r="AY238">
            <v>601064</v>
          </cell>
          <cell r="AZ238">
            <v>1</v>
          </cell>
          <cell r="BA238">
            <v>1</v>
          </cell>
          <cell r="BB238">
            <v>0</v>
          </cell>
          <cell r="BC238">
            <v>0</v>
          </cell>
          <cell r="BE238">
            <v>2698679</v>
          </cell>
          <cell r="BF238">
            <v>821</v>
          </cell>
          <cell r="BG238">
            <v>641</v>
          </cell>
          <cell r="BH238">
            <v>33</v>
          </cell>
          <cell r="BI238">
            <v>17253216</v>
          </cell>
          <cell r="BJ238">
            <v>17636721</v>
          </cell>
          <cell r="BL238">
            <v>90</v>
          </cell>
          <cell r="BM238">
            <v>134</v>
          </cell>
          <cell r="BN238">
            <v>122</v>
          </cell>
          <cell r="BO238">
            <v>46</v>
          </cell>
          <cell r="BP238">
            <v>21</v>
          </cell>
          <cell r="BQ238">
            <v>14</v>
          </cell>
        </row>
        <row r="239">
          <cell r="A239">
            <v>456</v>
          </cell>
          <cell r="B239" t="str">
            <v>456 - Marais Des Cygnes Valley</v>
          </cell>
          <cell r="C239" t="str">
            <v>Osage</v>
          </cell>
          <cell r="D239">
            <v>25735760</v>
          </cell>
          <cell r="E239">
            <v>22760822</v>
          </cell>
          <cell r="F239">
            <v>27080880</v>
          </cell>
          <cell r="G239">
            <v>22348085</v>
          </cell>
          <cell r="H239">
            <v>191.5</v>
          </cell>
          <cell r="I239">
            <v>183</v>
          </cell>
          <cell r="J239">
            <v>133</v>
          </cell>
          <cell r="K239">
            <v>2552937</v>
          </cell>
          <cell r="L239">
            <v>207.5</v>
          </cell>
          <cell r="M239">
            <v>193</v>
          </cell>
          <cell r="N239">
            <v>189</v>
          </cell>
          <cell r="O239">
            <v>167.5</v>
          </cell>
          <cell r="P239">
            <v>272282</v>
          </cell>
          <cell r="Q239">
            <v>307636</v>
          </cell>
          <cell r="R239">
            <v>179935</v>
          </cell>
          <cell r="S239">
            <v>341448</v>
          </cell>
          <cell r="T239">
            <v>10653</v>
          </cell>
          <cell r="U239">
            <v>10334</v>
          </cell>
          <cell r="V239">
            <v>0</v>
          </cell>
          <cell r="W239">
            <v>0</v>
          </cell>
          <cell r="X239">
            <v>101</v>
          </cell>
          <cell r="Y239">
            <v>12</v>
          </cell>
          <cell r="Z239">
            <v>0</v>
          </cell>
          <cell r="AA239">
            <v>0</v>
          </cell>
          <cell r="AB239">
            <v>0.1198</v>
          </cell>
          <cell r="AC239">
            <v>274184</v>
          </cell>
          <cell r="AD239">
            <v>252336</v>
          </cell>
          <cell r="AE239">
            <v>252336</v>
          </cell>
          <cell r="AF239">
            <v>205.5</v>
          </cell>
          <cell r="AG239">
            <v>193</v>
          </cell>
          <cell r="AH239">
            <v>187</v>
          </cell>
          <cell r="AI239">
            <v>167.5</v>
          </cell>
          <cell r="AJ239">
            <v>0</v>
          </cell>
          <cell r="AM239">
            <v>0</v>
          </cell>
          <cell r="AN239">
            <v>0</v>
          </cell>
          <cell r="AO239">
            <v>166.5</v>
          </cell>
          <cell r="AQ239">
            <v>0</v>
          </cell>
          <cell r="AT239">
            <v>0</v>
          </cell>
          <cell r="AU239">
            <v>0</v>
          </cell>
          <cell r="AV239">
            <v>2324131</v>
          </cell>
          <cell r="AW239">
            <v>0</v>
          </cell>
          <cell r="AX239">
            <v>0</v>
          </cell>
          <cell r="AY239">
            <v>206342</v>
          </cell>
          <cell r="AZ239">
            <v>1</v>
          </cell>
          <cell r="BA239">
            <v>1</v>
          </cell>
          <cell r="BB239">
            <v>0</v>
          </cell>
          <cell r="BC239">
            <v>0</v>
          </cell>
          <cell r="BE239">
            <v>2245301</v>
          </cell>
          <cell r="BF239">
            <v>830</v>
          </cell>
          <cell r="BG239">
            <v>252</v>
          </cell>
          <cell r="BH239">
            <v>33</v>
          </cell>
          <cell r="BI239">
            <v>25735760</v>
          </cell>
          <cell r="BJ239">
            <v>27080880</v>
          </cell>
          <cell r="BL239">
            <v>78</v>
          </cell>
          <cell r="BM239">
            <v>101</v>
          </cell>
          <cell r="BN239">
            <v>115</v>
          </cell>
          <cell r="BO239">
            <v>34</v>
          </cell>
          <cell r="BP239">
            <v>13</v>
          </cell>
          <cell r="BQ239">
            <v>16</v>
          </cell>
        </row>
        <row r="240">
          <cell r="A240">
            <v>457</v>
          </cell>
          <cell r="B240" t="str">
            <v>457 - Garden City</v>
          </cell>
          <cell r="C240" t="str">
            <v>Finney</v>
          </cell>
          <cell r="D240">
            <v>489613837</v>
          </cell>
          <cell r="E240">
            <v>442969301</v>
          </cell>
          <cell r="F240">
            <v>505510565</v>
          </cell>
          <cell r="G240">
            <v>424648071</v>
          </cell>
          <cell r="H240">
            <v>6669.6</v>
          </cell>
          <cell r="I240">
            <v>6632</v>
          </cell>
          <cell r="J240">
            <v>928</v>
          </cell>
          <cell r="K240">
            <v>63536149</v>
          </cell>
          <cell r="L240">
            <v>6981.2</v>
          </cell>
          <cell r="M240">
            <v>6883.4</v>
          </cell>
          <cell r="N240">
            <v>6897.2</v>
          </cell>
          <cell r="O240">
            <v>6738.6</v>
          </cell>
          <cell r="P240">
            <v>5030377</v>
          </cell>
          <cell r="Q240">
            <v>6476318</v>
          </cell>
          <cell r="R240">
            <v>12246958</v>
          </cell>
          <cell r="S240">
            <v>5361952</v>
          </cell>
          <cell r="T240">
            <v>0</v>
          </cell>
          <cell r="U240">
            <v>0</v>
          </cell>
          <cell r="V240">
            <v>0.12</v>
          </cell>
          <cell r="W240">
            <v>0.57999999999999996</v>
          </cell>
          <cell r="X240">
            <v>4394</v>
          </cell>
          <cell r="Y240">
            <v>767</v>
          </cell>
          <cell r="Z240">
            <v>0.59</v>
          </cell>
          <cell r="AA240">
            <v>0.04</v>
          </cell>
          <cell r="AB240">
            <v>0.57569999999999999</v>
          </cell>
          <cell r="AC240">
            <v>7650430</v>
          </cell>
          <cell r="AD240">
            <v>7238835</v>
          </cell>
          <cell r="AE240">
            <v>7238835</v>
          </cell>
          <cell r="AF240">
            <v>6858</v>
          </cell>
          <cell r="AG240">
            <v>6788.6</v>
          </cell>
          <cell r="AH240">
            <v>6803.5</v>
          </cell>
          <cell r="AI240">
            <v>6656.6</v>
          </cell>
          <cell r="AJ240">
            <v>0</v>
          </cell>
          <cell r="AM240">
            <v>9</v>
          </cell>
          <cell r="AN240">
            <v>0</v>
          </cell>
          <cell r="AO240">
            <v>6465.6</v>
          </cell>
          <cell r="AQ240">
            <v>0</v>
          </cell>
          <cell r="AT240">
            <v>0</v>
          </cell>
          <cell r="AU240">
            <v>0</v>
          </cell>
          <cell r="AV240">
            <v>55165709</v>
          </cell>
          <cell r="AW240">
            <v>2070918</v>
          </cell>
          <cell r="AX240">
            <v>2487682</v>
          </cell>
          <cell r="AY240">
            <v>11810863</v>
          </cell>
          <cell r="AZ240">
            <v>1</v>
          </cell>
          <cell r="BA240">
            <v>1</v>
          </cell>
          <cell r="BB240">
            <v>258880</v>
          </cell>
          <cell r="BC240">
            <v>290960</v>
          </cell>
          <cell r="BE240">
            <v>56840092</v>
          </cell>
          <cell r="BF240">
            <v>31322</v>
          </cell>
          <cell r="BG240">
            <v>58222</v>
          </cell>
          <cell r="BH240">
            <v>32.5</v>
          </cell>
          <cell r="BI240">
            <v>487986698</v>
          </cell>
          <cell r="BJ240">
            <v>501548814</v>
          </cell>
          <cell r="BL240">
            <v>3258</v>
          </cell>
          <cell r="BM240">
            <v>4244</v>
          </cell>
          <cell r="BN240">
            <v>4467</v>
          </cell>
          <cell r="BO240">
            <v>779</v>
          </cell>
          <cell r="BP240">
            <v>647</v>
          </cell>
          <cell r="BQ240">
            <v>792</v>
          </cell>
        </row>
        <row r="241">
          <cell r="A241">
            <v>458</v>
          </cell>
          <cell r="B241" t="str">
            <v>458 - Basehor-Linwood</v>
          </cell>
          <cell r="C241" t="str">
            <v>Leavenworth</v>
          </cell>
          <cell r="D241">
            <v>292632291</v>
          </cell>
          <cell r="E241">
            <v>265154486</v>
          </cell>
          <cell r="F241">
            <v>308403407</v>
          </cell>
          <cell r="G241">
            <v>258711584</v>
          </cell>
          <cell r="H241">
            <v>2766.4</v>
          </cell>
          <cell r="I241">
            <v>2830.1</v>
          </cell>
          <cell r="J241">
            <v>89.6</v>
          </cell>
          <cell r="K241">
            <v>23309045</v>
          </cell>
          <cell r="L241">
            <v>2874.4</v>
          </cell>
          <cell r="M241">
            <v>2933.8</v>
          </cell>
          <cell r="N241">
            <v>2988.7</v>
          </cell>
          <cell r="O241">
            <v>2979</v>
          </cell>
          <cell r="P241">
            <v>3288860</v>
          </cell>
          <cell r="Q241">
            <v>3865169</v>
          </cell>
          <cell r="R241">
            <v>3323576</v>
          </cell>
          <cell r="S241">
            <v>1552609</v>
          </cell>
          <cell r="T241">
            <v>6328</v>
          </cell>
          <cell r="U241">
            <v>20076</v>
          </cell>
          <cell r="V241">
            <v>0</v>
          </cell>
          <cell r="W241">
            <v>0.28000000000000003</v>
          </cell>
          <cell r="X241">
            <v>491</v>
          </cell>
          <cell r="Y241">
            <v>126</v>
          </cell>
          <cell r="Z241">
            <v>0.27</v>
          </cell>
          <cell r="AA241">
            <v>0</v>
          </cell>
          <cell r="AB241">
            <v>0.4012</v>
          </cell>
          <cell r="AC241">
            <v>3008287</v>
          </cell>
          <cell r="AD241">
            <v>2972457</v>
          </cell>
          <cell r="AE241">
            <v>2972457</v>
          </cell>
          <cell r="AF241">
            <v>2663.8</v>
          </cell>
          <cell r="AG241">
            <v>2782.4</v>
          </cell>
          <cell r="AH241">
            <v>2851.1</v>
          </cell>
          <cell r="AI241">
            <v>2825.3</v>
          </cell>
          <cell r="AJ241">
            <v>5.21E-2</v>
          </cell>
          <cell r="AM241">
            <v>82</v>
          </cell>
          <cell r="AN241">
            <v>0</v>
          </cell>
          <cell r="AO241">
            <v>2805.3</v>
          </cell>
          <cell r="AQ241">
            <v>0</v>
          </cell>
          <cell r="AT241">
            <v>0</v>
          </cell>
          <cell r="AU241">
            <v>0</v>
          </cell>
          <cell r="AV241">
            <v>17800899</v>
          </cell>
          <cell r="AW241">
            <v>640136</v>
          </cell>
          <cell r="AX241">
            <v>633075</v>
          </cell>
          <cell r="AY241">
            <v>3251888</v>
          </cell>
          <cell r="AZ241">
            <v>0.95</v>
          </cell>
          <cell r="BA241">
            <v>1</v>
          </cell>
          <cell r="BB241">
            <v>51850</v>
          </cell>
          <cell r="BC241">
            <v>52500</v>
          </cell>
          <cell r="BE241">
            <v>19443876</v>
          </cell>
          <cell r="BF241">
            <v>17641</v>
          </cell>
          <cell r="BG241">
            <v>13945</v>
          </cell>
          <cell r="BH241">
            <v>33</v>
          </cell>
          <cell r="BI241">
            <v>292632291</v>
          </cell>
          <cell r="BJ241">
            <v>308403407</v>
          </cell>
          <cell r="BL241">
            <v>243</v>
          </cell>
          <cell r="BM241">
            <v>354</v>
          </cell>
          <cell r="BN241">
            <v>440</v>
          </cell>
          <cell r="BO241">
            <v>70</v>
          </cell>
          <cell r="BP241">
            <v>68</v>
          </cell>
          <cell r="BQ241">
            <v>95</v>
          </cell>
        </row>
        <row r="242">
          <cell r="A242">
            <v>459</v>
          </cell>
          <cell r="B242" t="str">
            <v>459 - Bucklin</v>
          </cell>
          <cell r="C242" t="str">
            <v>Ford</v>
          </cell>
          <cell r="D242">
            <v>36756121</v>
          </cell>
          <cell r="E242">
            <v>34244789</v>
          </cell>
          <cell r="F242">
            <v>35162189</v>
          </cell>
          <cell r="G242">
            <v>31319648</v>
          </cell>
          <cell r="H242">
            <v>209.9</v>
          </cell>
          <cell r="I242">
            <v>196.8</v>
          </cell>
          <cell r="J242">
            <v>358.2</v>
          </cell>
          <cell r="K242">
            <v>2412033</v>
          </cell>
          <cell r="L242">
            <v>223.8</v>
          </cell>
          <cell r="M242">
            <v>213.4</v>
          </cell>
          <cell r="N242">
            <v>204.8</v>
          </cell>
          <cell r="O242">
            <v>177.6</v>
          </cell>
          <cell r="P242">
            <v>188738</v>
          </cell>
          <cell r="Q242">
            <v>180204</v>
          </cell>
          <cell r="R242">
            <v>0</v>
          </cell>
          <cell r="S242">
            <v>197927</v>
          </cell>
          <cell r="T242">
            <v>6135</v>
          </cell>
          <cell r="U242">
            <v>6774</v>
          </cell>
          <cell r="V242">
            <v>0</v>
          </cell>
          <cell r="W242">
            <v>0</v>
          </cell>
          <cell r="X242">
            <v>66</v>
          </cell>
          <cell r="Y242">
            <v>19</v>
          </cell>
          <cell r="Z242">
            <v>0</v>
          </cell>
          <cell r="AA242">
            <v>0</v>
          </cell>
          <cell r="AB242">
            <v>0</v>
          </cell>
          <cell r="AC242">
            <v>303834</v>
          </cell>
          <cell r="AD242">
            <v>248977</v>
          </cell>
          <cell r="AE242">
            <v>248977</v>
          </cell>
          <cell r="AF242">
            <v>223.8</v>
          </cell>
          <cell r="AG242">
            <v>213.4</v>
          </cell>
          <cell r="AH242">
            <v>204.8</v>
          </cell>
          <cell r="AI242">
            <v>177.6</v>
          </cell>
          <cell r="AJ242">
            <v>0</v>
          </cell>
          <cell r="AM242">
            <v>0</v>
          </cell>
          <cell r="AN242">
            <v>0</v>
          </cell>
          <cell r="AO242">
            <v>172.6</v>
          </cell>
          <cell r="AQ242">
            <v>0</v>
          </cell>
          <cell r="AT242">
            <v>0</v>
          </cell>
          <cell r="AU242">
            <v>0</v>
          </cell>
          <cell r="AV242">
            <v>2318928</v>
          </cell>
          <cell r="AW242">
            <v>0</v>
          </cell>
          <cell r="AX242">
            <v>0</v>
          </cell>
          <cell r="AY242">
            <v>7373</v>
          </cell>
          <cell r="AZ242">
            <v>1</v>
          </cell>
          <cell r="BA242">
            <v>1</v>
          </cell>
          <cell r="BB242">
            <v>0</v>
          </cell>
          <cell r="BC242">
            <v>0</v>
          </cell>
          <cell r="BE242">
            <v>2221414</v>
          </cell>
          <cell r="BF242">
            <v>0</v>
          </cell>
          <cell r="BG242">
            <v>0</v>
          </cell>
          <cell r="BH242">
            <v>33</v>
          </cell>
          <cell r="BI242">
            <v>37296821</v>
          </cell>
          <cell r="BJ242">
            <v>35664329</v>
          </cell>
          <cell r="BL242">
            <v>92</v>
          </cell>
          <cell r="BM242">
            <v>83</v>
          </cell>
          <cell r="BN242">
            <v>90</v>
          </cell>
          <cell r="BO242">
            <v>15</v>
          </cell>
          <cell r="BP242">
            <v>23</v>
          </cell>
          <cell r="BQ242">
            <v>10</v>
          </cell>
        </row>
        <row r="243">
          <cell r="A243">
            <v>460</v>
          </cell>
          <cell r="B243" t="str">
            <v>460 - Hesston</v>
          </cell>
          <cell r="C243" t="str">
            <v>Harvey</v>
          </cell>
          <cell r="D243">
            <v>60120814</v>
          </cell>
          <cell r="E243">
            <v>53555670</v>
          </cell>
          <cell r="F243">
            <v>63419976</v>
          </cell>
          <cell r="G243">
            <v>51774551</v>
          </cell>
          <cell r="H243">
            <v>864.5</v>
          </cell>
          <cell r="I243">
            <v>828.7</v>
          </cell>
          <cell r="J243">
            <v>60</v>
          </cell>
          <cell r="K243">
            <v>7380767</v>
          </cell>
          <cell r="L243">
            <v>847.5</v>
          </cell>
          <cell r="M243">
            <v>864.5</v>
          </cell>
          <cell r="N243">
            <v>828.7</v>
          </cell>
          <cell r="O243">
            <v>847.3</v>
          </cell>
          <cell r="P243">
            <v>606778</v>
          </cell>
          <cell r="Q243">
            <v>876949</v>
          </cell>
          <cell r="R243">
            <v>1434945</v>
          </cell>
          <cell r="S243">
            <v>642823</v>
          </cell>
          <cell r="T243">
            <v>6453</v>
          </cell>
          <cell r="U243">
            <v>9434</v>
          </cell>
          <cell r="V243">
            <v>0.1</v>
          </cell>
          <cell r="W243">
            <v>0.56000000000000005</v>
          </cell>
          <cell r="X243">
            <v>154</v>
          </cell>
          <cell r="Y243">
            <v>65</v>
          </cell>
          <cell r="Z243">
            <v>0.56000000000000005</v>
          </cell>
          <cell r="AA243">
            <v>0.01</v>
          </cell>
          <cell r="AB243">
            <v>0.56440000000000001</v>
          </cell>
          <cell r="AC243">
            <v>716627</v>
          </cell>
          <cell r="AD243">
            <v>699173</v>
          </cell>
          <cell r="AE243">
            <v>699173</v>
          </cell>
          <cell r="AF243">
            <v>847.5</v>
          </cell>
          <cell r="AG243">
            <v>864.5</v>
          </cell>
          <cell r="AH243">
            <v>828.7</v>
          </cell>
          <cell r="AI243">
            <v>847.3</v>
          </cell>
          <cell r="AJ243">
            <v>0</v>
          </cell>
          <cell r="AM243">
            <v>5</v>
          </cell>
          <cell r="AN243">
            <v>0</v>
          </cell>
          <cell r="AO243">
            <v>847.3</v>
          </cell>
          <cell r="AQ243">
            <v>0</v>
          </cell>
          <cell r="AT243">
            <v>0</v>
          </cell>
          <cell r="AU243">
            <v>0</v>
          </cell>
          <cell r="AV243">
            <v>6257443</v>
          </cell>
          <cell r="AW243">
            <v>293240</v>
          </cell>
          <cell r="AX243">
            <v>302448</v>
          </cell>
          <cell r="AY243">
            <v>1351900</v>
          </cell>
          <cell r="AZ243">
            <v>1</v>
          </cell>
          <cell r="BA243">
            <v>1</v>
          </cell>
          <cell r="BB243">
            <v>0</v>
          </cell>
          <cell r="BC243">
            <v>0</v>
          </cell>
          <cell r="BE243">
            <v>6503818</v>
          </cell>
          <cell r="BF243">
            <v>1342</v>
          </cell>
          <cell r="BG243">
            <v>2205</v>
          </cell>
          <cell r="BH243">
            <v>33</v>
          </cell>
          <cell r="BI243">
            <v>60512237</v>
          </cell>
          <cell r="BJ243">
            <v>64115973</v>
          </cell>
          <cell r="BL243">
            <v>117</v>
          </cell>
          <cell r="BM243">
            <v>164</v>
          </cell>
          <cell r="BN243">
            <v>155</v>
          </cell>
          <cell r="BO243">
            <v>50</v>
          </cell>
          <cell r="BP243">
            <v>48</v>
          </cell>
          <cell r="BQ243">
            <v>59</v>
          </cell>
        </row>
        <row r="244">
          <cell r="A244">
            <v>461</v>
          </cell>
          <cell r="B244" t="str">
            <v>461 - Neodesha</v>
          </cell>
          <cell r="C244" t="str">
            <v>Wilson</v>
          </cell>
          <cell r="D244">
            <v>37055725</v>
          </cell>
          <cell r="E244">
            <v>31190760</v>
          </cell>
          <cell r="F244">
            <v>40250492</v>
          </cell>
          <cell r="G244">
            <v>31347897</v>
          </cell>
          <cell r="H244">
            <v>713.5</v>
          </cell>
          <cell r="I244">
            <v>728</v>
          </cell>
          <cell r="J244">
            <v>119</v>
          </cell>
          <cell r="K244">
            <v>7054038</v>
          </cell>
          <cell r="L244">
            <v>720.8</v>
          </cell>
          <cell r="M244">
            <v>734.7</v>
          </cell>
          <cell r="N244">
            <v>744.5</v>
          </cell>
          <cell r="O244">
            <v>712.2</v>
          </cell>
          <cell r="P244">
            <v>658044</v>
          </cell>
          <cell r="Q244">
            <v>674685</v>
          </cell>
          <cell r="R244">
            <v>1620555</v>
          </cell>
          <cell r="S244">
            <v>589497</v>
          </cell>
          <cell r="T244">
            <v>0</v>
          </cell>
          <cell r="U244">
            <v>0</v>
          </cell>
          <cell r="V244">
            <v>0.28999999999999998</v>
          </cell>
          <cell r="W244">
            <v>0.75</v>
          </cell>
          <cell r="X244">
            <v>310</v>
          </cell>
          <cell r="Y244">
            <v>72</v>
          </cell>
          <cell r="Z244">
            <v>0.75</v>
          </cell>
          <cell r="AA244">
            <v>0.2</v>
          </cell>
          <cell r="AB244">
            <v>0.68149999999999999</v>
          </cell>
          <cell r="AC244">
            <v>780933</v>
          </cell>
          <cell r="AD244">
            <v>761755</v>
          </cell>
          <cell r="AE244">
            <v>761755</v>
          </cell>
          <cell r="AF244">
            <v>710.5</v>
          </cell>
          <cell r="AG244">
            <v>728</v>
          </cell>
          <cell r="AH244">
            <v>740.5</v>
          </cell>
          <cell r="AI244">
            <v>708.3</v>
          </cell>
          <cell r="AJ244">
            <v>0</v>
          </cell>
          <cell r="AM244">
            <v>5</v>
          </cell>
          <cell r="AN244">
            <v>0</v>
          </cell>
          <cell r="AO244">
            <v>699.3</v>
          </cell>
          <cell r="AQ244">
            <v>0</v>
          </cell>
          <cell r="AT244">
            <v>0</v>
          </cell>
          <cell r="AU244">
            <v>0</v>
          </cell>
          <cell r="AV244">
            <v>6100805</v>
          </cell>
          <cell r="AW244">
            <v>226059</v>
          </cell>
          <cell r="AX244">
            <v>267285</v>
          </cell>
          <cell r="AY244">
            <v>1525348</v>
          </cell>
          <cell r="AZ244">
            <v>1</v>
          </cell>
          <cell r="BA244">
            <v>1</v>
          </cell>
          <cell r="BB244">
            <v>0</v>
          </cell>
          <cell r="BC244">
            <v>0</v>
          </cell>
          <cell r="BE244">
            <v>6379285</v>
          </cell>
          <cell r="BF244">
            <v>4231</v>
          </cell>
          <cell r="BG244">
            <v>1496</v>
          </cell>
          <cell r="BH244">
            <v>33</v>
          </cell>
          <cell r="BI244">
            <v>37180763</v>
          </cell>
          <cell r="BJ244">
            <v>40352674</v>
          </cell>
          <cell r="BL244">
            <v>266</v>
          </cell>
          <cell r="BM244">
            <v>396</v>
          </cell>
          <cell r="BN244">
            <v>346</v>
          </cell>
          <cell r="BO244">
            <v>97</v>
          </cell>
          <cell r="BP244">
            <v>72</v>
          </cell>
          <cell r="BQ244">
            <v>92</v>
          </cell>
        </row>
        <row r="245">
          <cell r="A245">
            <v>462</v>
          </cell>
          <cell r="B245" t="str">
            <v>462 - Central</v>
          </cell>
          <cell r="C245" t="str">
            <v>Cowley</v>
          </cell>
          <cell r="D245">
            <v>22197612</v>
          </cell>
          <cell r="E245">
            <v>18675740</v>
          </cell>
          <cell r="F245">
            <v>22478761</v>
          </cell>
          <cell r="G245">
            <v>17261678</v>
          </cell>
          <cell r="H245">
            <v>270.5</v>
          </cell>
          <cell r="I245">
            <v>261.7</v>
          </cell>
          <cell r="J245">
            <v>308.89999999999998</v>
          </cell>
          <cell r="K245">
            <v>3205732</v>
          </cell>
          <cell r="L245">
            <v>287.5</v>
          </cell>
          <cell r="M245">
            <v>279.3</v>
          </cell>
          <cell r="N245">
            <v>276.3</v>
          </cell>
          <cell r="O245">
            <v>278.3</v>
          </cell>
          <cell r="P245">
            <v>324206</v>
          </cell>
          <cell r="Q245">
            <v>341042</v>
          </cell>
          <cell r="R245">
            <v>521437</v>
          </cell>
          <cell r="S245">
            <v>308722</v>
          </cell>
          <cell r="T245">
            <v>4192</v>
          </cell>
          <cell r="U245">
            <v>2754</v>
          </cell>
          <cell r="V245">
            <v>0.04</v>
          </cell>
          <cell r="W245">
            <v>0.51</v>
          </cell>
          <cell r="X245">
            <v>119</v>
          </cell>
          <cell r="Y245">
            <v>25</v>
          </cell>
          <cell r="Z245">
            <v>0.5</v>
          </cell>
          <cell r="AA245">
            <v>0</v>
          </cell>
          <cell r="AB245">
            <v>0.51029999999999998</v>
          </cell>
          <cell r="AC245">
            <v>327981</v>
          </cell>
          <cell r="AD245">
            <v>322641</v>
          </cell>
          <cell r="AE245">
            <v>322641</v>
          </cell>
          <cell r="AF245">
            <v>287.5</v>
          </cell>
          <cell r="AG245">
            <v>277.5</v>
          </cell>
          <cell r="AH245">
            <v>266.7</v>
          </cell>
          <cell r="AI245">
            <v>276.3</v>
          </cell>
          <cell r="AJ245">
            <v>0</v>
          </cell>
          <cell r="AM245">
            <v>0</v>
          </cell>
          <cell r="AN245">
            <v>0</v>
          </cell>
          <cell r="AO245">
            <v>272.3</v>
          </cell>
          <cell r="AQ245">
            <v>0</v>
          </cell>
          <cell r="AT245">
            <v>0</v>
          </cell>
          <cell r="AU245">
            <v>0</v>
          </cell>
          <cell r="AV245">
            <v>2880721</v>
          </cell>
          <cell r="AW245">
            <v>77556</v>
          </cell>
          <cell r="AX245">
            <v>73478</v>
          </cell>
          <cell r="AY245">
            <v>533561</v>
          </cell>
          <cell r="AZ245">
            <v>1</v>
          </cell>
          <cell r="BA245">
            <v>1</v>
          </cell>
          <cell r="BB245">
            <v>0</v>
          </cell>
          <cell r="BC245">
            <v>0</v>
          </cell>
          <cell r="BE245">
            <v>2863482</v>
          </cell>
          <cell r="BF245">
            <v>603</v>
          </cell>
          <cell r="BG245">
            <v>1856</v>
          </cell>
          <cell r="BH245">
            <v>33</v>
          </cell>
          <cell r="BI245">
            <v>22197612</v>
          </cell>
          <cell r="BJ245">
            <v>22478761</v>
          </cell>
          <cell r="BL245">
            <v>129</v>
          </cell>
          <cell r="BM245">
            <v>140</v>
          </cell>
          <cell r="BN245">
            <v>139</v>
          </cell>
          <cell r="BO245">
            <v>49</v>
          </cell>
          <cell r="BP245">
            <v>37</v>
          </cell>
          <cell r="BQ245">
            <v>27</v>
          </cell>
        </row>
        <row r="246">
          <cell r="A246">
            <v>463</v>
          </cell>
          <cell r="B246" t="str">
            <v>463 - Udall</v>
          </cell>
          <cell r="C246" t="str">
            <v>Cowley</v>
          </cell>
          <cell r="D246">
            <v>40349171</v>
          </cell>
          <cell r="E246">
            <v>36256207</v>
          </cell>
          <cell r="F246">
            <v>42802259</v>
          </cell>
          <cell r="G246">
            <v>35935807</v>
          </cell>
          <cell r="H246">
            <v>302.5</v>
          </cell>
          <cell r="I246">
            <v>281.5</v>
          </cell>
          <cell r="J246">
            <v>140</v>
          </cell>
          <cell r="K246">
            <v>3286197</v>
          </cell>
          <cell r="L246">
            <v>325</v>
          </cell>
          <cell r="M246">
            <v>310.5</v>
          </cell>
          <cell r="N246">
            <v>288</v>
          </cell>
          <cell r="O246">
            <v>286.8</v>
          </cell>
          <cell r="P246">
            <v>351470</v>
          </cell>
          <cell r="Q246">
            <v>358934</v>
          </cell>
          <cell r="R246">
            <v>203725</v>
          </cell>
          <cell r="S246">
            <v>371593</v>
          </cell>
          <cell r="T246">
            <v>0</v>
          </cell>
          <cell r="U246">
            <v>13324</v>
          </cell>
          <cell r="V246">
            <v>0</v>
          </cell>
          <cell r="W246">
            <v>0</v>
          </cell>
          <cell r="X246">
            <v>115</v>
          </cell>
          <cell r="Y246">
            <v>22</v>
          </cell>
          <cell r="Z246">
            <v>0</v>
          </cell>
          <cell r="AA246">
            <v>0</v>
          </cell>
          <cell r="AB246">
            <v>0.13619999999999999</v>
          </cell>
          <cell r="AC246">
            <v>318259</v>
          </cell>
          <cell r="AD246">
            <v>307920</v>
          </cell>
          <cell r="AE246">
            <v>307920</v>
          </cell>
          <cell r="AF246">
            <v>325</v>
          </cell>
          <cell r="AG246">
            <v>308.5</v>
          </cell>
          <cell r="AH246">
            <v>286.5</v>
          </cell>
          <cell r="AI246">
            <v>283.5</v>
          </cell>
          <cell r="AJ246">
            <v>0</v>
          </cell>
          <cell r="AM246">
            <v>8</v>
          </cell>
          <cell r="AN246">
            <v>0</v>
          </cell>
          <cell r="AO246">
            <v>281</v>
          </cell>
          <cell r="AQ246">
            <v>0</v>
          </cell>
          <cell r="AT246">
            <v>0</v>
          </cell>
          <cell r="AU246">
            <v>0</v>
          </cell>
          <cell r="AV246">
            <v>2977797</v>
          </cell>
          <cell r="AW246">
            <v>0</v>
          </cell>
          <cell r="AX246">
            <v>0</v>
          </cell>
          <cell r="AY246">
            <v>299679</v>
          </cell>
          <cell r="AZ246">
            <v>1</v>
          </cell>
          <cell r="BA246">
            <v>1</v>
          </cell>
          <cell r="BB246">
            <v>0</v>
          </cell>
          <cell r="BC246">
            <v>0</v>
          </cell>
          <cell r="BE246">
            <v>2926680</v>
          </cell>
          <cell r="BF246">
            <v>5017</v>
          </cell>
          <cell r="BG246">
            <v>4259</v>
          </cell>
          <cell r="BH246">
            <v>32.5</v>
          </cell>
          <cell r="BI246">
            <v>40307209</v>
          </cell>
          <cell r="BJ246">
            <v>42781833</v>
          </cell>
          <cell r="BL246">
            <v>107</v>
          </cell>
          <cell r="BM246">
            <v>133</v>
          </cell>
          <cell r="BN246">
            <v>121</v>
          </cell>
          <cell r="BO246">
            <v>32</v>
          </cell>
          <cell r="BP246">
            <v>25</v>
          </cell>
          <cell r="BQ246">
            <v>22</v>
          </cell>
        </row>
        <row r="247">
          <cell r="A247">
            <v>464</v>
          </cell>
          <cell r="B247" t="str">
            <v>464 - Tonganoxie</v>
          </cell>
          <cell r="C247" t="str">
            <v>Leavenworth</v>
          </cell>
          <cell r="D247">
            <v>196889776</v>
          </cell>
          <cell r="E247">
            <v>176717089</v>
          </cell>
          <cell r="F247">
            <v>205085990</v>
          </cell>
          <cell r="G247">
            <v>168955778</v>
          </cell>
          <cell r="H247">
            <v>1897.8</v>
          </cell>
          <cell r="I247">
            <v>1898.2</v>
          </cell>
          <cell r="J247">
            <v>141.9</v>
          </cell>
          <cell r="K247">
            <v>15355191</v>
          </cell>
          <cell r="L247">
            <v>1884</v>
          </cell>
          <cell r="M247">
            <v>1919.2</v>
          </cell>
          <cell r="N247">
            <v>1928.4</v>
          </cell>
          <cell r="O247">
            <v>1930.5</v>
          </cell>
          <cell r="P247">
            <v>2181657</v>
          </cell>
          <cell r="Q247">
            <v>2450846</v>
          </cell>
          <cell r="R247">
            <v>2045700</v>
          </cell>
          <cell r="S247">
            <v>1347372</v>
          </cell>
          <cell r="T247">
            <v>10237</v>
          </cell>
          <cell r="U247">
            <v>16366</v>
          </cell>
          <cell r="V247">
            <v>0</v>
          </cell>
          <cell r="W247">
            <v>0.15</v>
          </cell>
          <cell r="X247">
            <v>512</v>
          </cell>
          <cell r="Y247">
            <v>146</v>
          </cell>
          <cell r="Z247">
            <v>0.25</v>
          </cell>
          <cell r="AA247">
            <v>0</v>
          </cell>
          <cell r="AB247">
            <v>0.38119999999999998</v>
          </cell>
          <cell r="AC247">
            <v>1745072</v>
          </cell>
          <cell r="AD247">
            <v>1694692</v>
          </cell>
          <cell r="AE247">
            <v>1694692</v>
          </cell>
          <cell r="AF247">
            <v>1860.5</v>
          </cell>
          <cell r="AG247">
            <v>1902.8</v>
          </cell>
          <cell r="AH247">
            <v>1912.7</v>
          </cell>
          <cell r="AI247">
            <v>1916.3</v>
          </cell>
          <cell r="AJ247">
            <v>2.75E-2</v>
          </cell>
          <cell r="AM247">
            <v>18</v>
          </cell>
          <cell r="AN247">
            <v>0</v>
          </cell>
          <cell r="AO247">
            <v>1906.8</v>
          </cell>
          <cell r="AQ247">
            <v>0</v>
          </cell>
          <cell r="AT247">
            <v>0</v>
          </cell>
          <cell r="AU247">
            <v>0</v>
          </cell>
          <cell r="AV247">
            <v>12021717</v>
          </cell>
          <cell r="AW247">
            <v>567240</v>
          </cell>
          <cell r="AX247">
            <v>355296</v>
          </cell>
          <cell r="AY247">
            <v>2032216</v>
          </cell>
          <cell r="AZ247">
            <v>1</v>
          </cell>
          <cell r="BA247">
            <v>1</v>
          </cell>
          <cell r="BB247">
            <v>0</v>
          </cell>
          <cell r="BC247">
            <v>0</v>
          </cell>
          <cell r="BE247">
            <v>12904340</v>
          </cell>
          <cell r="BF247">
            <v>8429</v>
          </cell>
          <cell r="BG247">
            <v>8435</v>
          </cell>
          <cell r="BH247">
            <v>33</v>
          </cell>
          <cell r="BI247">
            <v>213389349</v>
          </cell>
          <cell r="BJ247">
            <v>226682390</v>
          </cell>
          <cell r="BL247">
            <v>313</v>
          </cell>
          <cell r="BM247">
            <v>453</v>
          </cell>
          <cell r="BN247">
            <v>444</v>
          </cell>
          <cell r="BO247">
            <v>178</v>
          </cell>
          <cell r="BP247">
            <v>112</v>
          </cell>
          <cell r="BQ247">
            <v>143</v>
          </cell>
        </row>
        <row r="248">
          <cell r="A248">
            <v>465</v>
          </cell>
          <cell r="B248" t="str">
            <v>465 - Winfield</v>
          </cell>
          <cell r="C248" t="str">
            <v>Cowley</v>
          </cell>
          <cell r="D248">
            <v>155531019</v>
          </cell>
          <cell r="E248">
            <v>130194317</v>
          </cell>
          <cell r="F248">
            <v>164329754</v>
          </cell>
          <cell r="G248">
            <v>122622515</v>
          </cell>
          <cell r="H248">
            <v>2046.5</v>
          </cell>
          <cell r="I248">
            <v>1964.6</v>
          </cell>
          <cell r="J248">
            <v>262</v>
          </cell>
          <cell r="K248">
            <v>18354523</v>
          </cell>
          <cell r="L248">
            <v>2110.3000000000002</v>
          </cell>
          <cell r="M248">
            <v>2101.6</v>
          </cell>
          <cell r="N248">
            <v>2013.2</v>
          </cell>
          <cell r="O248">
            <v>1946.3</v>
          </cell>
          <cell r="P248">
            <v>2541773</v>
          </cell>
          <cell r="Q248">
            <v>2974363</v>
          </cell>
          <cell r="R248">
            <v>3229648</v>
          </cell>
          <cell r="S248">
            <v>2187665</v>
          </cell>
          <cell r="T248">
            <v>0</v>
          </cell>
          <cell r="U248">
            <v>0</v>
          </cell>
          <cell r="V248">
            <v>0.01</v>
          </cell>
          <cell r="W248">
            <v>0.48</v>
          </cell>
          <cell r="X248">
            <v>995</v>
          </cell>
          <cell r="Y248">
            <v>158</v>
          </cell>
          <cell r="Z248">
            <v>0.47</v>
          </cell>
          <cell r="AA248">
            <v>0</v>
          </cell>
          <cell r="AB248">
            <v>0.53080000000000005</v>
          </cell>
          <cell r="AC248">
            <v>3349960</v>
          </cell>
          <cell r="AD248">
            <v>3267585</v>
          </cell>
          <cell r="AE248">
            <v>3267585</v>
          </cell>
          <cell r="AF248">
            <v>2079.3000000000002</v>
          </cell>
          <cell r="AG248">
            <v>2065</v>
          </cell>
          <cell r="AH248">
            <v>1983.1</v>
          </cell>
          <cell r="AI248">
            <v>1940.3</v>
          </cell>
          <cell r="AJ248">
            <v>0</v>
          </cell>
          <cell r="AM248">
            <v>15</v>
          </cell>
          <cell r="AN248">
            <v>0</v>
          </cell>
          <cell r="AO248">
            <v>1911.8</v>
          </cell>
          <cell r="AQ248">
            <v>0</v>
          </cell>
          <cell r="AT248">
            <v>0</v>
          </cell>
          <cell r="AU248">
            <v>0</v>
          </cell>
          <cell r="AV248">
            <v>15014503</v>
          </cell>
          <cell r="AW248">
            <v>738340</v>
          </cell>
          <cell r="AX248">
            <v>673868</v>
          </cell>
          <cell r="AY248">
            <v>3451173</v>
          </cell>
          <cell r="AZ248">
            <v>1</v>
          </cell>
          <cell r="BA248">
            <v>1</v>
          </cell>
          <cell r="BB248">
            <v>118410</v>
          </cell>
          <cell r="BC248">
            <v>106904</v>
          </cell>
          <cell r="BE248">
            <v>15368982</v>
          </cell>
          <cell r="BF248">
            <v>11328</v>
          </cell>
          <cell r="BG248">
            <v>13375</v>
          </cell>
          <cell r="BH248">
            <v>33</v>
          </cell>
          <cell r="BI248">
            <v>154167714</v>
          </cell>
          <cell r="BJ248">
            <v>163763642</v>
          </cell>
          <cell r="BL248">
            <v>1077</v>
          </cell>
          <cell r="BM248">
            <v>1064</v>
          </cell>
          <cell r="BN248">
            <v>1030</v>
          </cell>
          <cell r="BO248">
            <v>375</v>
          </cell>
          <cell r="BP248">
            <v>127</v>
          </cell>
          <cell r="BQ248">
            <v>140</v>
          </cell>
        </row>
        <row r="249">
          <cell r="A249">
            <v>466</v>
          </cell>
          <cell r="B249" t="str">
            <v>466 - Scott County</v>
          </cell>
          <cell r="C249" t="str">
            <v>Scott</v>
          </cell>
          <cell r="D249">
            <v>108972926</v>
          </cell>
          <cell r="E249">
            <v>99187339</v>
          </cell>
          <cell r="F249">
            <v>104901646</v>
          </cell>
          <cell r="G249">
            <v>88670405</v>
          </cell>
          <cell r="H249">
            <v>915.8</v>
          </cell>
          <cell r="I249">
            <v>925.6</v>
          </cell>
          <cell r="J249">
            <v>959.3</v>
          </cell>
          <cell r="K249">
            <v>8568372</v>
          </cell>
          <cell r="L249">
            <v>944.5</v>
          </cell>
          <cell r="M249">
            <v>932.1</v>
          </cell>
          <cell r="N249">
            <v>937.6</v>
          </cell>
          <cell r="O249">
            <v>912.6</v>
          </cell>
          <cell r="P249">
            <v>586268</v>
          </cell>
          <cell r="Q249">
            <v>634897</v>
          </cell>
          <cell r="R249">
            <v>887281</v>
          </cell>
          <cell r="S249">
            <v>535429</v>
          </cell>
          <cell r="T249">
            <v>0</v>
          </cell>
          <cell r="U249">
            <v>0</v>
          </cell>
          <cell r="V249">
            <v>0</v>
          </cell>
          <cell r="W249">
            <v>0.18</v>
          </cell>
          <cell r="X249">
            <v>395</v>
          </cell>
          <cell r="Y249">
            <v>97</v>
          </cell>
          <cell r="Z249">
            <v>0.17</v>
          </cell>
          <cell r="AA249">
            <v>0</v>
          </cell>
          <cell r="AB249">
            <v>0.29680000000000001</v>
          </cell>
          <cell r="AC249">
            <v>885720</v>
          </cell>
          <cell r="AD249">
            <v>850792</v>
          </cell>
          <cell r="AE249">
            <v>850792</v>
          </cell>
          <cell r="AF249">
            <v>937.8</v>
          </cell>
          <cell r="AG249">
            <v>925.3</v>
          </cell>
          <cell r="AH249">
            <v>932.6</v>
          </cell>
          <cell r="AI249">
            <v>912.6</v>
          </cell>
          <cell r="AJ249">
            <v>0</v>
          </cell>
          <cell r="AM249">
            <v>0</v>
          </cell>
          <cell r="AN249">
            <v>0</v>
          </cell>
          <cell r="AO249">
            <v>899.6</v>
          </cell>
          <cell r="AQ249">
            <v>0</v>
          </cell>
          <cell r="AT249">
            <v>0</v>
          </cell>
          <cell r="AU249">
            <v>0</v>
          </cell>
          <cell r="AV249">
            <v>7599966</v>
          </cell>
          <cell r="AW249">
            <v>147033</v>
          </cell>
          <cell r="AX249">
            <v>141156</v>
          </cell>
          <cell r="AY249">
            <v>865569</v>
          </cell>
          <cell r="AZ249">
            <v>1</v>
          </cell>
          <cell r="BA249">
            <v>1</v>
          </cell>
          <cell r="BB249">
            <v>45000</v>
          </cell>
          <cell r="BC249">
            <v>0</v>
          </cell>
          <cell r="BE249">
            <v>7898309</v>
          </cell>
          <cell r="BF249">
            <v>7390</v>
          </cell>
          <cell r="BG249">
            <v>11104</v>
          </cell>
          <cell r="BH249">
            <v>33</v>
          </cell>
          <cell r="BI249">
            <v>108152903</v>
          </cell>
          <cell r="BJ249">
            <v>103791023</v>
          </cell>
          <cell r="BL249">
            <v>296</v>
          </cell>
          <cell r="BM249">
            <v>367</v>
          </cell>
          <cell r="BN249">
            <v>413</v>
          </cell>
          <cell r="BO249">
            <v>74</v>
          </cell>
          <cell r="BP249">
            <v>104</v>
          </cell>
          <cell r="BQ249">
            <v>109</v>
          </cell>
        </row>
        <row r="250">
          <cell r="A250">
            <v>467</v>
          </cell>
          <cell r="B250" t="str">
            <v>467 - Leoti</v>
          </cell>
          <cell r="C250" t="str">
            <v>Wichita</v>
          </cell>
          <cell r="D250">
            <v>55045099</v>
          </cell>
          <cell r="E250">
            <v>51029431</v>
          </cell>
          <cell r="F250">
            <v>53288713</v>
          </cell>
          <cell r="G250">
            <v>46936520</v>
          </cell>
          <cell r="H250">
            <v>369.3</v>
          </cell>
          <cell r="I250">
            <v>368.4</v>
          </cell>
          <cell r="J250">
            <v>775.3</v>
          </cell>
          <cell r="K250">
            <v>3926478</v>
          </cell>
          <cell r="L250">
            <v>373.6</v>
          </cell>
          <cell r="M250">
            <v>373.8</v>
          </cell>
          <cell r="N250">
            <v>372.4</v>
          </cell>
          <cell r="O250">
            <v>378.4</v>
          </cell>
          <cell r="P250">
            <v>242462</v>
          </cell>
          <cell r="Q250">
            <v>267687</v>
          </cell>
          <cell r="R250">
            <v>102649</v>
          </cell>
          <cell r="S250">
            <v>278906</v>
          </cell>
          <cell r="T250">
            <v>0</v>
          </cell>
          <cell r="U250">
            <v>0</v>
          </cell>
          <cell r="V250">
            <v>0</v>
          </cell>
          <cell r="W250">
            <v>0</v>
          </cell>
          <cell r="X250">
            <v>154</v>
          </cell>
          <cell r="Y250">
            <v>61</v>
          </cell>
          <cell r="Z250">
            <v>0</v>
          </cell>
          <cell r="AA250">
            <v>0</v>
          </cell>
          <cell r="AB250">
            <v>0.1139</v>
          </cell>
          <cell r="AC250">
            <v>417477</v>
          </cell>
          <cell r="AD250">
            <v>414262</v>
          </cell>
          <cell r="AE250">
            <v>414262</v>
          </cell>
          <cell r="AF250">
            <v>373.6</v>
          </cell>
          <cell r="AG250">
            <v>373.8</v>
          </cell>
          <cell r="AH250">
            <v>372.4</v>
          </cell>
          <cell r="AI250">
            <v>378.4</v>
          </cell>
          <cell r="AJ250">
            <v>0</v>
          </cell>
          <cell r="AM250">
            <v>0</v>
          </cell>
          <cell r="AN250">
            <v>0</v>
          </cell>
          <cell r="AO250">
            <v>373.9</v>
          </cell>
          <cell r="AQ250">
            <v>0</v>
          </cell>
          <cell r="AT250">
            <v>0</v>
          </cell>
          <cell r="AU250">
            <v>0</v>
          </cell>
          <cell r="AV250">
            <v>3379266</v>
          </cell>
          <cell r="AW250">
            <v>0</v>
          </cell>
          <cell r="AX250">
            <v>0</v>
          </cell>
          <cell r="AY250">
            <v>71894</v>
          </cell>
          <cell r="AZ250">
            <v>1</v>
          </cell>
          <cell r="BA250">
            <v>1</v>
          </cell>
          <cell r="BB250">
            <v>0</v>
          </cell>
          <cell r="BC250">
            <v>0</v>
          </cell>
          <cell r="BE250">
            <v>3645151</v>
          </cell>
          <cell r="BF250">
            <v>572</v>
          </cell>
          <cell r="BG250">
            <v>531</v>
          </cell>
          <cell r="BH250">
            <v>33</v>
          </cell>
          <cell r="BI250">
            <v>53408027</v>
          </cell>
          <cell r="BJ250">
            <v>51977923</v>
          </cell>
          <cell r="BL250">
            <v>127</v>
          </cell>
          <cell r="BM250">
            <v>141</v>
          </cell>
          <cell r="BN250">
            <v>139</v>
          </cell>
          <cell r="BO250">
            <v>30</v>
          </cell>
          <cell r="BP250">
            <v>64</v>
          </cell>
          <cell r="BQ250">
            <v>66</v>
          </cell>
        </row>
        <row r="251">
          <cell r="A251">
            <v>468</v>
          </cell>
          <cell r="B251" t="str">
            <v>468 - Healy Public Schools</v>
          </cell>
          <cell r="C251" t="str">
            <v>Lane</v>
          </cell>
          <cell r="D251">
            <v>10802621</v>
          </cell>
          <cell r="E251">
            <v>10167179</v>
          </cell>
          <cell r="F251">
            <v>10283364</v>
          </cell>
          <cell r="G251">
            <v>9384603</v>
          </cell>
          <cell r="H251">
            <v>37</v>
          </cell>
          <cell r="I251">
            <v>20</v>
          </cell>
          <cell r="K251">
            <v>374847</v>
          </cell>
          <cell r="L251">
            <v>40</v>
          </cell>
          <cell r="M251">
            <v>37.5</v>
          </cell>
          <cell r="N251">
            <v>20</v>
          </cell>
          <cell r="O251">
            <v>2</v>
          </cell>
          <cell r="P251">
            <v>60718</v>
          </cell>
          <cell r="Q251">
            <v>66382</v>
          </cell>
          <cell r="R251">
            <v>0</v>
          </cell>
          <cell r="S251">
            <v>115125</v>
          </cell>
          <cell r="T251">
            <v>0</v>
          </cell>
          <cell r="U251">
            <v>0</v>
          </cell>
          <cell r="V251">
            <v>0</v>
          </cell>
          <cell r="W251">
            <v>0</v>
          </cell>
          <cell r="X251">
            <v>0</v>
          </cell>
          <cell r="Y251">
            <v>0</v>
          </cell>
          <cell r="Z251">
            <v>0</v>
          </cell>
          <cell r="AA251">
            <v>0</v>
          </cell>
          <cell r="AB251">
            <v>0</v>
          </cell>
          <cell r="AC251">
            <v>61900</v>
          </cell>
          <cell r="AD251">
            <v>34754</v>
          </cell>
          <cell r="AE251">
            <v>34754</v>
          </cell>
          <cell r="AF251">
            <v>40</v>
          </cell>
          <cell r="AG251">
            <v>37.5</v>
          </cell>
          <cell r="AH251">
            <v>20</v>
          </cell>
          <cell r="AI251">
            <v>2</v>
          </cell>
          <cell r="AJ251">
            <v>0</v>
          </cell>
          <cell r="AM251">
            <v>0</v>
          </cell>
          <cell r="AN251">
            <v>0</v>
          </cell>
          <cell r="AO251">
            <v>2</v>
          </cell>
          <cell r="AQ251">
            <v>0</v>
          </cell>
          <cell r="AT251">
            <v>0</v>
          </cell>
          <cell r="AU251">
            <v>0</v>
          </cell>
          <cell r="AV251">
            <v>439602</v>
          </cell>
          <cell r="AW251">
            <v>0</v>
          </cell>
          <cell r="AX251">
            <v>0</v>
          </cell>
          <cell r="AY251">
            <v>0</v>
          </cell>
          <cell r="AZ251">
            <v>1</v>
          </cell>
          <cell r="BA251">
            <v>1</v>
          </cell>
          <cell r="BB251">
            <v>0</v>
          </cell>
          <cell r="BC251">
            <v>0</v>
          </cell>
          <cell r="BE251">
            <v>286327</v>
          </cell>
          <cell r="BF251">
            <v>12</v>
          </cell>
          <cell r="BG251">
            <v>0</v>
          </cell>
          <cell r="BH251">
            <v>33</v>
          </cell>
          <cell r="BI251">
            <v>10802621</v>
          </cell>
          <cell r="BJ251">
            <v>10283364</v>
          </cell>
          <cell r="BL251">
            <v>29</v>
          </cell>
          <cell r="BM251">
            <v>34</v>
          </cell>
          <cell r="BN251">
            <v>14</v>
          </cell>
          <cell r="BO251">
            <v>3</v>
          </cell>
          <cell r="BP251">
            <v>1</v>
          </cell>
          <cell r="BQ251">
            <v>4</v>
          </cell>
        </row>
        <row r="252">
          <cell r="A252">
            <v>469</v>
          </cell>
          <cell r="B252" t="str">
            <v>469 - Lansing</v>
          </cell>
          <cell r="C252" t="str">
            <v>Leavenworth</v>
          </cell>
          <cell r="D252">
            <v>199155716</v>
          </cell>
          <cell r="E252">
            <v>177664127</v>
          </cell>
          <cell r="F252">
            <v>208447598</v>
          </cell>
          <cell r="G252">
            <v>170206266</v>
          </cell>
          <cell r="H252">
            <v>2574.3000000000002</v>
          </cell>
          <cell r="I252">
            <v>2450.6</v>
          </cell>
          <cell r="J252">
            <v>49</v>
          </cell>
          <cell r="K252">
            <v>21095265</v>
          </cell>
          <cell r="L252">
            <v>2547.6</v>
          </cell>
          <cell r="M252">
            <v>2607.1</v>
          </cell>
          <cell r="N252">
            <v>2480.8000000000002</v>
          </cell>
          <cell r="O252">
            <v>2577.1999999999998</v>
          </cell>
          <cell r="P252">
            <v>2889650</v>
          </cell>
          <cell r="Q252">
            <v>3803180</v>
          </cell>
          <cell r="R252">
            <v>3804136</v>
          </cell>
          <cell r="S252">
            <v>1716493</v>
          </cell>
          <cell r="T252">
            <v>1579</v>
          </cell>
          <cell r="U252">
            <v>820</v>
          </cell>
          <cell r="V252">
            <v>0.03</v>
          </cell>
          <cell r="W252">
            <v>0.51</v>
          </cell>
          <cell r="X252">
            <v>712</v>
          </cell>
          <cell r="Y252">
            <v>212</v>
          </cell>
          <cell r="Z252">
            <v>0.5</v>
          </cell>
          <cell r="AA252">
            <v>0</v>
          </cell>
          <cell r="AB252">
            <v>0.52329999999999999</v>
          </cell>
          <cell r="AC252">
            <v>2715877</v>
          </cell>
          <cell r="AD252">
            <v>2629431</v>
          </cell>
          <cell r="AE252">
            <v>2629431</v>
          </cell>
          <cell r="AF252">
            <v>2514.1999999999998</v>
          </cell>
          <cell r="AG252">
            <v>2582.8000000000002</v>
          </cell>
          <cell r="AH252">
            <v>2460.6</v>
          </cell>
          <cell r="AI252">
            <v>2521.1999999999998</v>
          </cell>
          <cell r="AJ252">
            <v>2.1600000000000001E-2</v>
          </cell>
          <cell r="AM252">
            <v>237</v>
          </cell>
          <cell r="AN252">
            <v>1</v>
          </cell>
          <cell r="AO252">
            <v>2502.6999999999998</v>
          </cell>
          <cell r="AQ252">
            <v>0</v>
          </cell>
          <cell r="AT252">
            <v>0</v>
          </cell>
          <cell r="AU252">
            <v>0</v>
          </cell>
          <cell r="AV252">
            <v>16670531</v>
          </cell>
          <cell r="AW252">
            <v>906051</v>
          </cell>
          <cell r="AX252">
            <v>882269</v>
          </cell>
          <cell r="AY252">
            <v>3746825</v>
          </cell>
          <cell r="AZ252">
            <v>1</v>
          </cell>
          <cell r="BA252">
            <v>1</v>
          </cell>
          <cell r="BB252">
            <v>94218</v>
          </cell>
          <cell r="BC252">
            <v>95260</v>
          </cell>
          <cell r="BE252">
            <v>17292085</v>
          </cell>
          <cell r="BF252">
            <v>4671</v>
          </cell>
          <cell r="BG252">
            <v>3114</v>
          </cell>
          <cell r="BH252">
            <v>33</v>
          </cell>
          <cell r="BI252">
            <v>198745136</v>
          </cell>
          <cell r="BJ252">
            <v>208160497</v>
          </cell>
          <cell r="BL252">
            <v>554</v>
          </cell>
          <cell r="BM252">
            <v>680</v>
          </cell>
          <cell r="BN252">
            <v>725</v>
          </cell>
          <cell r="BO252">
            <v>267</v>
          </cell>
          <cell r="BP252">
            <v>184</v>
          </cell>
          <cell r="BQ252">
            <v>182</v>
          </cell>
        </row>
        <row r="253">
          <cell r="A253">
            <v>470</v>
          </cell>
          <cell r="B253" t="str">
            <v>470 - Arkansas City</v>
          </cell>
          <cell r="C253" t="str">
            <v>Cowley</v>
          </cell>
          <cell r="D253">
            <v>140095660</v>
          </cell>
          <cell r="E253">
            <v>112825126</v>
          </cell>
          <cell r="F253">
            <v>152486703</v>
          </cell>
          <cell r="G253">
            <v>109920219</v>
          </cell>
          <cell r="H253">
            <v>2652.5</v>
          </cell>
          <cell r="I253">
            <v>2677.6</v>
          </cell>
          <cell r="J253">
            <v>200</v>
          </cell>
          <cell r="K253">
            <v>25552561</v>
          </cell>
          <cell r="L253">
            <v>2692.5</v>
          </cell>
          <cell r="M253">
            <v>2757.1</v>
          </cell>
          <cell r="N253">
            <v>2770.9</v>
          </cell>
          <cell r="O253">
            <v>2783.1</v>
          </cell>
          <cell r="P253">
            <v>3172716</v>
          </cell>
          <cell r="Q253">
            <v>3333030</v>
          </cell>
          <cell r="R253">
            <v>5754571</v>
          </cell>
          <cell r="S253">
            <v>2403951</v>
          </cell>
          <cell r="T253">
            <v>0</v>
          </cell>
          <cell r="U253">
            <v>0</v>
          </cell>
          <cell r="V253">
            <v>0.3</v>
          </cell>
          <cell r="W253">
            <v>0.76</v>
          </cell>
          <cell r="X253">
            <v>1641</v>
          </cell>
          <cell r="Y253">
            <v>185</v>
          </cell>
          <cell r="Z253">
            <v>0.77</v>
          </cell>
          <cell r="AA253">
            <v>0.22</v>
          </cell>
          <cell r="AB253">
            <v>0.68640000000000001</v>
          </cell>
          <cell r="AC253">
            <v>3071458</v>
          </cell>
          <cell r="AD253">
            <v>2935669</v>
          </cell>
          <cell r="AE253">
            <v>2935669</v>
          </cell>
          <cell r="AF253">
            <v>2652.2</v>
          </cell>
          <cell r="AG253">
            <v>2706</v>
          </cell>
          <cell r="AH253">
            <v>2739.6</v>
          </cell>
          <cell r="AI253">
            <v>2737.3</v>
          </cell>
          <cell r="AJ253">
            <v>0</v>
          </cell>
          <cell r="AM253">
            <v>2</v>
          </cell>
          <cell r="AN253">
            <v>0</v>
          </cell>
          <cell r="AO253">
            <v>2688.3</v>
          </cell>
          <cell r="AQ253">
            <v>0</v>
          </cell>
          <cell r="AT253">
            <v>0</v>
          </cell>
          <cell r="AU253">
            <v>0</v>
          </cell>
          <cell r="AV253">
            <v>21622804</v>
          </cell>
          <cell r="AW253">
            <v>873222</v>
          </cell>
          <cell r="AX253">
            <v>900792</v>
          </cell>
          <cell r="AY253">
            <v>5629782</v>
          </cell>
          <cell r="AZ253">
            <v>1</v>
          </cell>
          <cell r="BA253">
            <v>1</v>
          </cell>
          <cell r="BB253">
            <v>0</v>
          </cell>
          <cell r="BC253">
            <v>0</v>
          </cell>
          <cell r="BE253">
            <v>22213737</v>
          </cell>
          <cell r="BF253">
            <v>5132</v>
          </cell>
          <cell r="BG253">
            <v>3760</v>
          </cell>
          <cell r="BH253">
            <v>32.9</v>
          </cell>
          <cell r="BI253">
            <v>145297226</v>
          </cell>
          <cell r="BJ253">
            <v>156478031</v>
          </cell>
          <cell r="BL253">
            <v>1520</v>
          </cell>
          <cell r="BM253">
            <v>1837</v>
          </cell>
          <cell r="BN253">
            <v>1889</v>
          </cell>
          <cell r="BO253">
            <v>272</v>
          </cell>
          <cell r="BP253">
            <v>160</v>
          </cell>
          <cell r="BQ253">
            <v>200</v>
          </cell>
        </row>
        <row r="254">
          <cell r="A254">
            <v>471</v>
          </cell>
          <cell r="B254" t="str">
            <v>471 - Dexter</v>
          </cell>
          <cell r="C254" t="str">
            <v>Cowley</v>
          </cell>
          <cell r="D254">
            <v>14569228</v>
          </cell>
          <cell r="E254">
            <v>13319420</v>
          </cell>
          <cell r="F254">
            <v>12379442</v>
          </cell>
          <cell r="G254">
            <v>10420606</v>
          </cell>
          <cell r="H254">
            <v>263</v>
          </cell>
          <cell r="I254">
            <v>273</v>
          </cell>
          <cell r="J254">
            <v>213</v>
          </cell>
          <cell r="K254">
            <v>2991244</v>
          </cell>
          <cell r="L254">
            <v>262.3</v>
          </cell>
          <cell r="M254">
            <v>263</v>
          </cell>
          <cell r="N254">
            <v>273</v>
          </cell>
          <cell r="O254">
            <v>275.60000000000002</v>
          </cell>
          <cell r="P254">
            <v>312864</v>
          </cell>
          <cell r="Q254">
            <v>337019</v>
          </cell>
          <cell r="R254">
            <v>687091</v>
          </cell>
          <cell r="S254">
            <v>182014</v>
          </cell>
          <cell r="T254">
            <v>3889</v>
          </cell>
          <cell r="U254">
            <v>6879</v>
          </cell>
          <cell r="V254">
            <v>0.4</v>
          </cell>
          <cell r="W254">
            <v>0.87</v>
          </cell>
          <cell r="X254">
            <v>94</v>
          </cell>
          <cell r="Y254">
            <v>39</v>
          </cell>
          <cell r="Z254">
            <v>0.86</v>
          </cell>
          <cell r="AA254">
            <v>0.31</v>
          </cell>
          <cell r="AB254">
            <v>0.70199999999999996</v>
          </cell>
          <cell r="AC254">
            <v>250245</v>
          </cell>
          <cell r="AD254">
            <v>229793</v>
          </cell>
          <cell r="AE254">
            <v>229793</v>
          </cell>
          <cell r="AF254">
            <v>262.3</v>
          </cell>
          <cell r="AG254">
            <v>263</v>
          </cell>
          <cell r="AH254">
            <v>273</v>
          </cell>
          <cell r="AI254">
            <v>275.60000000000002</v>
          </cell>
          <cell r="AJ254">
            <v>0</v>
          </cell>
          <cell r="AM254">
            <v>0</v>
          </cell>
          <cell r="AN254">
            <v>0</v>
          </cell>
          <cell r="AO254">
            <v>275.60000000000002</v>
          </cell>
          <cell r="AQ254">
            <v>0</v>
          </cell>
          <cell r="AT254">
            <v>0</v>
          </cell>
          <cell r="AU254">
            <v>0</v>
          </cell>
          <cell r="AV254">
            <v>2474245</v>
          </cell>
          <cell r="AW254">
            <v>93159</v>
          </cell>
          <cell r="AX254">
            <v>79229</v>
          </cell>
          <cell r="AY254">
            <v>651864</v>
          </cell>
          <cell r="AZ254">
            <v>1</v>
          </cell>
          <cell r="BA254">
            <v>1</v>
          </cell>
          <cell r="BB254">
            <v>0</v>
          </cell>
          <cell r="BC254">
            <v>0</v>
          </cell>
          <cell r="BE254">
            <v>2643871</v>
          </cell>
          <cell r="BF254">
            <v>0</v>
          </cell>
          <cell r="BG254">
            <v>0</v>
          </cell>
          <cell r="BH254">
            <v>33</v>
          </cell>
          <cell r="BI254">
            <v>14569228</v>
          </cell>
          <cell r="BJ254">
            <v>12379442</v>
          </cell>
          <cell r="BL254">
            <v>78</v>
          </cell>
          <cell r="BM254">
            <v>102</v>
          </cell>
          <cell r="BN254">
            <v>101</v>
          </cell>
          <cell r="BO254">
            <v>36</v>
          </cell>
          <cell r="BP254">
            <v>26</v>
          </cell>
          <cell r="BQ254">
            <v>28</v>
          </cell>
        </row>
        <row r="255">
          <cell r="A255">
            <v>473</v>
          </cell>
          <cell r="B255" t="str">
            <v>473 - Chapman</v>
          </cell>
          <cell r="C255" t="str">
            <v>Dickinson</v>
          </cell>
          <cell r="D255">
            <v>115380293</v>
          </cell>
          <cell r="E255">
            <v>103926558</v>
          </cell>
          <cell r="F255">
            <v>115972958</v>
          </cell>
          <cell r="G255">
            <v>96717616</v>
          </cell>
          <cell r="H255">
            <v>1126.5</v>
          </cell>
          <cell r="I255">
            <v>1094</v>
          </cell>
          <cell r="J255">
            <v>550</v>
          </cell>
          <cell r="K255">
            <v>10280585</v>
          </cell>
          <cell r="L255">
            <v>1082</v>
          </cell>
          <cell r="M255">
            <v>1131.5</v>
          </cell>
          <cell r="N255">
            <v>1098</v>
          </cell>
          <cell r="O255">
            <v>1086.5</v>
          </cell>
          <cell r="P255">
            <v>1226979</v>
          </cell>
          <cell r="Q255">
            <v>1313928</v>
          </cell>
          <cell r="R255">
            <v>1146942</v>
          </cell>
          <cell r="S255">
            <v>852264</v>
          </cell>
          <cell r="T255">
            <v>4170</v>
          </cell>
          <cell r="U255">
            <v>20949</v>
          </cell>
          <cell r="V255">
            <v>0</v>
          </cell>
          <cell r="W255">
            <v>0.26</v>
          </cell>
          <cell r="X255">
            <v>343</v>
          </cell>
          <cell r="Y255">
            <v>92</v>
          </cell>
          <cell r="Z255">
            <v>0.25</v>
          </cell>
          <cell r="AA255">
            <v>0</v>
          </cell>
          <cell r="AB255">
            <v>0.35260000000000002</v>
          </cell>
          <cell r="AC255">
            <v>1028392</v>
          </cell>
          <cell r="AD255">
            <v>967773</v>
          </cell>
          <cell r="AE255">
            <v>967773</v>
          </cell>
          <cell r="AF255">
            <v>1082</v>
          </cell>
          <cell r="AG255">
            <v>1131.5</v>
          </cell>
          <cell r="AH255">
            <v>1098</v>
          </cell>
          <cell r="AI255">
            <v>1086.5</v>
          </cell>
          <cell r="AJ255">
            <v>0</v>
          </cell>
          <cell r="AM255">
            <v>152</v>
          </cell>
          <cell r="AN255">
            <v>1</v>
          </cell>
          <cell r="AO255">
            <v>1078</v>
          </cell>
          <cell r="AQ255">
            <v>0</v>
          </cell>
          <cell r="AT255">
            <v>0</v>
          </cell>
          <cell r="AU255">
            <v>0</v>
          </cell>
          <cell r="AV255">
            <v>8573527</v>
          </cell>
          <cell r="AW255">
            <v>229950</v>
          </cell>
          <cell r="AX255">
            <v>258871</v>
          </cell>
          <cell r="AY255">
            <v>1104476</v>
          </cell>
          <cell r="AZ255">
            <v>1</v>
          </cell>
          <cell r="BA255">
            <v>1</v>
          </cell>
          <cell r="BB255">
            <v>36770</v>
          </cell>
          <cell r="BC255">
            <v>28674</v>
          </cell>
          <cell r="BE255">
            <v>8966657</v>
          </cell>
          <cell r="BF255">
            <v>6414</v>
          </cell>
          <cell r="BG255">
            <v>4385</v>
          </cell>
          <cell r="BH255">
            <v>32.5</v>
          </cell>
          <cell r="BI255">
            <v>114974785</v>
          </cell>
          <cell r="BJ255">
            <v>115567448</v>
          </cell>
          <cell r="BL255">
            <v>256</v>
          </cell>
          <cell r="BM255">
            <v>345</v>
          </cell>
          <cell r="BN255">
            <v>365</v>
          </cell>
          <cell r="BO255">
            <v>132</v>
          </cell>
          <cell r="BP255">
            <v>79</v>
          </cell>
          <cell r="BQ255">
            <v>86</v>
          </cell>
        </row>
        <row r="256">
          <cell r="A256">
            <v>474</v>
          </cell>
          <cell r="B256" t="str">
            <v>474 - Haviland</v>
          </cell>
          <cell r="C256" t="str">
            <v>Kiowa</v>
          </cell>
          <cell r="D256">
            <v>20510476</v>
          </cell>
          <cell r="E256">
            <v>19236436</v>
          </cell>
          <cell r="F256">
            <v>18413396</v>
          </cell>
          <cell r="G256">
            <v>16470923</v>
          </cell>
          <cell r="H256">
            <v>82</v>
          </cell>
          <cell r="I256">
            <v>87.5</v>
          </cell>
          <cell r="J256">
            <v>234.9</v>
          </cell>
          <cell r="K256">
            <v>1339028</v>
          </cell>
          <cell r="L256">
            <v>80</v>
          </cell>
          <cell r="M256">
            <v>85</v>
          </cell>
          <cell r="N256">
            <v>94</v>
          </cell>
          <cell r="O256">
            <v>98</v>
          </cell>
          <cell r="P256">
            <v>124041</v>
          </cell>
          <cell r="Q256">
            <v>125135</v>
          </cell>
          <cell r="R256">
            <v>0</v>
          </cell>
          <cell r="S256">
            <v>163745</v>
          </cell>
          <cell r="T256">
            <v>0</v>
          </cell>
          <cell r="U256">
            <v>0</v>
          </cell>
          <cell r="V256">
            <v>0</v>
          </cell>
          <cell r="W256">
            <v>0</v>
          </cell>
          <cell r="X256">
            <v>37</v>
          </cell>
          <cell r="Y256">
            <v>8</v>
          </cell>
          <cell r="Z256">
            <v>0</v>
          </cell>
          <cell r="AA256">
            <v>0</v>
          </cell>
          <cell r="AB256">
            <v>0</v>
          </cell>
          <cell r="AC256">
            <v>91135</v>
          </cell>
          <cell r="AD256">
            <v>79938</v>
          </cell>
          <cell r="AE256">
            <v>79938</v>
          </cell>
          <cell r="AF256">
            <v>80</v>
          </cell>
          <cell r="AG256">
            <v>85</v>
          </cell>
          <cell r="AH256">
            <v>90</v>
          </cell>
          <cell r="AI256">
            <v>96</v>
          </cell>
          <cell r="AJ256">
            <v>0</v>
          </cell>
          <cell r="AM256">
            <v>0</v>
          </cell>
          <cell r="AN256">
            <v>0</v>
          </cell>
          <cell r="AO256">
            <v>94</v>
          </cell>
          <cell r="AQ256">
            <v>0</v>
          </cell>
          <cell r="AT256">
            <v>0</v>
          </cell>
          <cell r="AU256">
            <v>0</v>
          </cell>
          <cell r="AV256">
            <v>1036563</v>
          </cell>
          <cell r="AW256">
            <v>0</v>
          </cell>
          <cell r="AX256">
            <v>0</v>
          </cell>
          <cell r="AY256">
            <v>0</v>
          </cell>
          <cell r="AZ256">
            <v>1</v>
          </cell>
          <cell r="BA256">
            <v>1</v>
          </cell>
          <cell r="BB256">
            <v>0</v>
          </cell>
          <cell r="BC256">
            <v>0</v>
          </cell>
          <cell r="BE256">
            <v>1211625</v>
          </cell>
          <cell r="BF256">
            <v>375</v>
          </cell>
          <cell r="BG256">
            <v>536</v>
          </cell>
          <cell r="BH256">
            <v>33</v>
          </cell>
          <cell r="BI256">
            <v>20510476</v>
          </cell>
          <cell r="BJ256">
            <v>18324683</v>
          </cell>
          <cell r="BL256">
            <v>24</v>
          </cell>
          <cell r="BM256">
            <v>28</v>
          </cell>
          <cell r="BN256">
            <v>35</v>
          </cell>
          <cell r="BO256">
            <v>18</v>
          </cell>
          <cell r="BP256">
            <v>21</v>
          </cell>
          <cell r="BQ256">
            <v>9</v>
          </cell>
        </row>
        <row r="257">
          <cell r="A257">
            <v>475</v>
          </cell>
          <cell r="B257" t="str">
            <v>475 - Geary County Schools</v>
          </cell>
          <cell r="C257" t="str">
            <v>Geary</v>
          </cell>
          <cell r="D257">
            <v>277748257</v>
          </cell>
          <cell r="E257">
            <v>236162128</v>
          </cell>
          <cell r="F257">
            <v>285495759</v>
          </cell>
          <cell r="G257">
            <v>213894968</v>
          </cell>
          <cell r="H257">
            <v>6895.6</v>
          </cell>
          <cell r="I257">
            <v>6888.6</v>
          </cell>
          <cell r="J257">
            <v>262</v>
          </cell>
          <cell r="K257">
            <v>63610910</v>
          </cell>
          <cell r="L257">
            <v>7187.6</v>
          </cell>
          <cell r="M257">
            <v>7344.1</v>
          </cell>
          <cell r="N257">
            <v>7345.8</v>
          </cell>
          <cell r="O257">
            <v>7327.7</v>
          </cell>
          <cell r="P257">
            <v>9736594</v>
          </cell>
          <cell r="Q257">
            <v>10927972</v>
          </cell>
          <cell r="R257">
            <v>15942395</v>
          </cell>
          <cell r="S257">
            <v>6169799</v>
          </cell>
          <cell r="T257">
            <v>0</v>
          </cell>
          <cell r="U257">
            <v>0</v>
          </cell>
          <cell r="V257">
            <v>0.46</v>
          </cell>
          <cell r="W257">
            <v>0.93</v>
          </cell>
          <cell r="X257">
            <v>3099</v>
          </cell>
          <cell r="Y257">
            <v>969</v>
          </cell>
          <cell r="Z257">
            <v>0.92</v>
          </cell>
          <cell r="AA257">
            <v>0.37</v>
          </cell>
          <cell r="AB257">
            <v>0.76929999999999998</v>
          </cell>
          <cell r="AC257">
            <v>8341497</v>
          </cell>
          <cell r="AD257">
            <v>8051543</v>
          </cell>
          <cell r="AE257">
            <v>8051543</v>
          </cell>
          <cell r="AF257">
            <v>7168.6</v>
          </cell>
          <cell r="AG257">
            <v>7330.7</v>
          </cell>
          <cell r="AH257">
            <v>7337.7</v>
          </cell>
          <cell r="AI257">
            <v>7320.4</v>
          </cell>
          <cell r="AJ257">
            <v>0</v>
          </cell>
          <cell r="AM257">
            <v>4071</v>
          </cell>
          <cell r="AN257">
            <v>1</v>
          </cell>
          <cell r="AO257">
            <v>6840.4</v>
          </cell>
          <cell r="AQ257">
            <v>312.10000000000002</v>
          </cell>
          <cell r="AT257">
            <v>320.60000000000002</v>
          </cell>
          <cell r="AU257">
            <v>342</v>
          </cell>
          <cell r="AV257">
            <v>49531763</v>
          </cell>
          <cell r="AW257">
            <v>1991539</v>
          </cell>
          <cell r="AX257">
            <v>2161590</v>
          </cell>
          <cell r="AY257">
            <v>14579779</v>
          </cell>
          <cell r="AZ257">
            <v>1</v>
          </cell>
          <cell r="BA257">
            <v>1</v>
          </cell>
          <cell r="BB257">
            <v>143885</v>
          </cell>
          <cell r="BC257">
            <v>143890</v>
          </cell>
          <cell r="BE257">
            <v>52658197</v>
          </cell>
          <cell r="BF257">
            <v>46291</v>
          </cell>
          <cell r="BG257">
            <v>48943</v>
          </cell>
          <cell r="BH257">
            <v>33</v>
          </cell>
          <cell r="BI257">
            <v>276602635</v>
          </cell>
          <cell r="BJ257">
            <v>284419789</v>
          </cell>
          <cell r="BL257">
            <v>2325</v>
          </cell>
          <cell r="BM257">
            <v>2787</v>
          </cell>
          <cell r="BN257">
            <v>2995</v>
          </cell>
          <cell r="BO257">
            <v>1048</v>
          </cell>
          <cell r="BP257">
            <v>951</v>
          </cell>
          <cell r="BQ257">
            <v>1096</v>
          </cell>
        </row>
        <row r="258">
          <cell r="A258">
            <v>476</v>
          </cell>
          <cell r="B258" t="str">
            <v>476 - Copeland</v>
          </cell>
          <cell r="C258" t="str">
            <v>Gray</v>
          </cell>
          <cell r="D258">
            <v>21861380</v>
          </cell>
          <cell r="E258">
            <v>20406520</v>
          </cell>
          <cell r="F258">
            <v>20451768</v>
          </cell>
          <cell r="G258">
            <v>17978702</v>
          </cell>
          <cell r="H258">
            <v>94.8</v>
          </cell>
          <cell r="I258">
            <v>99.2</v>
          </cell>
          <cell r="J258">
            <v>200</v>
          </cell>
          <cell r="K258">
            <v>1311694</v>
          </cell>
          <cell r="L258">
            <v>95.5</v>
          </cell>
          <cell r="M258">
            <v>96.3</v>
          </cell>
          <cell r="N258">
            <v>101.2</v>
          </cell>
          <cell r="O258">
            <v>100</v>
          </cell>
          <cell r="P258">
            <v>71736</v>
          </cell>
          <cell r="Q258">
            <v>80165</v>
          </cell>
          <cell r="R258">
            <v>0</v>
          </cell>
          <cell r="S258">
            <v>102150</v>
          </cell>
          <cell r="T258">
            <v>0</v>
          </cell>
          <cell r="U258">
            <v>0</v>
          </cell>
          <cell r="V258">
            <v>0</v>
          </cell>
          <cell r="W258">
            <v>0</v>
          </cell>
          <cell r="X258">
            <v>19</v>
          </cell>
          <cell r="Y258">
            <v>30</v>
          </cell>
          <cell r="Z258">
            <v>0</v>
          </cell>
          <cell r="AA258">
            <v>0</v>
          </cell>
          <cell r="AB258">
            <v>0</v>
          </cell>
          <cell r="AC258">
            <v>136965</v>
          </cell>
          <cell r="AD258">
            <v>134793</v>
          </cell>
          <cell r="AE258">
            <v>134793</v>
          </cell>
          <cell r="AF258">
            <v>95.5</v>
          </cell>
          <cell r="AG258">
            <v>96.3</v>
          </cell>
          <cell r="AH258">
            <v>101.2</v>
          </cell>
          <cell r="AI258">
            <v>100</v>
          </cell>
          <cell r="AJ258">
            <v>0</v>
          </cell>
          <cell r="AM258">
            <v>0</v>
          </cell>
          <cell r="AN258">
            <v>0</v>
          </cell>
          <cell r="AO258">
            <v>99</v>
          </cell>
          <cell r="AQ258">
            <v>0</v>
          </cell>
          <cell r="AT258">
            <v>0</v>
          </cell>
          <cell r="AU258">
            <v>0</v>
          </cell>
          <cell r="AV258">
            <v>1175507</v>
          </cell>
          <cell r="AW258">
            <v>0</v>
          </cell>
          <cell r="AX258">
            <v>0</v>
          </cell>
          <cell r="AY258">
            <v>0</v>
          </cell>
          <cell r="AZ258">
            <v>1</v>
          </cell>
          <cell r="BA258">
            <v>1</v>
          </cell>
          <cell r="BB258">
            <v>0</v>
          </cell>
          <cell r="BC258">
            <v>0</v>
          </cell>
          <cell r="BE258">
            <v>1229811</v>
          </cell>
          <cell r="BF258">
            <v>273</v>
          </cell>
          <cell r="BG258">
            <v>977</v>
          </cell>
          <cell r="BH258">
            <v>33</v>
          </cell>
          <cell r="BI258">
            <v>21857706</v>
          </cell>
          <cell r="BJ258">
            <v>20449319</v>
          </cell>
          <cell r="BL258">
            <v>32</v>
          </cell>
          <cell r="BM258">
            <v>38</v>
          </cell>
          <cell r="BN258">
            <v>35</v>
          </cell>
          <cell r="BO258">
            <v>16</v>
          </cell>
          <cell r="BP258">
            <v>14</v>
          </cell>
          <cell r="BQ258">
            <v>25</v>
          </cell>
        </row>
        <row r="259">
          <cell r="A259">
            <v>477</v>
          </cell>
          <cell r="B259" t="str">
            <v>477 - Ingalls</v>
          </cell>
          <cell r="C259" t="str">
            <v>Gray</v>
          </cell>
          <cell r="D259">
            <v>28850003</v>
          </cell>
          <cell r="E259">
            <v>27328152</v>
          </cell>
          <cell r="F259">
            <v>27337026</v>
          </cell>
          <cell r="G259">
            <v>24812677</v>
          </cell>
          <cell r="H259">
            <v>226</v>
          </cell>
          <cell r="I259">
            <v>207</v>
          </cell>
          <cell r="J259">
            <v>267</v>
          </cell>
          <cell r="K259">
            <v>2471729</v>
          </cell>
          <cell r="L259">
            <v>227</v>
          </cell>
          <cell r="M259">
            <v>230</v>
          </cell>
          <cell r="N259">
            <v>211</v>
          </cell>
          <cell r="O259">
            <v>218.5</v>
          </cell>
          <cell r="P259">
            <v>180623</v>
          </cell>
          <cell r="Q259">
            <v>175994</v>
          </cell>
          <cell r="R259">
            <v>153449</v>
          </cell>
          <cell r="S259">
            <v>207959</v>
          </cell>
          <cell r="T259">
            <v>0</v>
          </cell>
          <cell r="U259">
            <v>0</v>
          </cell>
          <cell r="V259">
            <v>0</v>
          </cell>
          <cell r="W259">
            <v>7.0000000000000007E-2</v>
          </cell>
          <cell r="X259">
            <v>68</v>
          </cell>
          <cell r="Y259">
            <v>23</v>
          </cell>
          <cell r="Z259">
            <v>0.06</v>
          </cell>
          <cell r="AA259">
            <v>0</v>
          </cell>
          <cell r="AB259">
            <v>0.19769999999999999</v>
          </cell>
          <cell r="AC259">
            <v>277273</v>
          </cell>
          <cell r="AD259">
            <v>269623</v>
          </cell>
          <cell r="AE259">
            <v>269623</v>
          </cell>
          <cell r="AF259">
            <v>227</v>
          </cell>
          <cell r="AG259">
            <v>230</v>
          </cell>
          <cell r="AH259">
            <v>211</v>
          </cell>
          <cell r="AI259">
            <v>218.5</v>
          </cell>
          <cell r="AJ259">
            <v>0</v>
          </cell>
          <cell r="AM259">
            <v>0</v>
          </cell>
          <cell r="AN259">
            <v>0</v>
          </cell>
          <cell r="AO259">
            <v>217</v>
          </cell>
          <cell r="AQ259">
            <v>0</v>
          </cell>
          <cell r="AT259">
            <v>0</v>
          </cell>
          <cell r="AU259">
            <v>0</v>
          </cell>
          <cell r="AV259">
            <v>2227707</v>
          </cell>
          <cell r="AW259">
            <v>4614</v>
          </cell>
          <cell r="AX259">
            <v>0</v>
          </cell>
          <cell r="AY259">
            <v>152656</v>
          </cell>
          <cell r="AZ259">
            <v>1</v>
          </cell>
          <cell r="BA259">
            <v>1</v>
          </cell>
          <cell r="BB259">
            <v>0</v>
          </cell>
          <cell r="BC259">
            <v>0</v>
          </cell>
          <cell r="BE259">
            <v>2294273</v>
          </cell>
          <cell r="BF259">
            <v>1149</v>
          </cell>
          <cell r="BG259">
            <v>1862</v>
          </cell>
          <cell r="BH259">
            <v>33</v>
          </cell>
          <cell r="BI259">
            <v>28850003</v>
          </cell>
          <cell r="BJ259">
            <v>27337026</v>
          </cell>
          <cell r="BL259">
            <v>57</v>
          </cell>
          <cell r="BM259">
            <v>74</v>
          </cell>
          <cell r="BN259">
            <v>63</v>
          </cell>
          <cell r="BO259">
            <v>6</v>
          </cell>
          <cell r="BP259">
            <v>11</v>
          </cell>
          <cell r="BQ259">
            <v>24</v>
          </cell>
        </row>
        <row r="260">
          <cell r="A260">
            <v>479</v>
          </cell>
          <cell r="B260" t="str">
            <v>479 - Crest</v>
          </cell>
          <cell r="C260" t="str">
            <v>Anderson</v>
          </cell>
          <cell r="D260">
            <v>27177927</v>
          </cell>
          <cell r="E260">
            <v>24513252</v>
          </cell>
          <cell r="F260">
            <v>25676158</v>
          </cell>
          <cell r="G260">
            <v>21521859</v>
          </cell>
          <cell r="H260">
            <v>234.4</v>
          </cell>
          <cell r="I260">
            <v>237.5</v>
          </cell>
          <cell r="J260">
            <v>177</v>
          </cell>
          <cell r="K260">
            <v>3064046</v>
          </cell>
          <cell r="L260">
            <v>243.9</v>
          </cell>
          <cell r="M260">
            <v>240.7</v>
          </cell>
          <cell r="N260">
            <v>241.5</v>
          </cell>
          <cell r="O260">
            <v>246.2</v>
          </cell>
          <cell r="P260">
            <v>284779</v>
          </cell>
          <cell r="Q260">
            <v>326538</v>
          </cell>
          <cell r="R260">
            <v>271842</v>
          </cell>
          <cell r="S260">
            <v>308637</v>
          </cell>
          <cell r="T260">
            <v>11818</v>
          </cell>
          <cell r="U260">
            <v>13748</v>
          </cell>
          <cell r="V260">
            <v>0</v>
          </cell>
          <cell r="W260">
            <v>0.28000000000000003</v>
          </cell>
          <cell r="X260">
            <v>121</v>
          </cell>
          <cell r="Y260">
            <v>26</v>
          </cell>
          <cell r="Z260">
            <v>0.27</v>
          </cell>
          <cell r="AA260">
            <v>0</v>
          </cell>
          <cell r="AB260">
            <v>0.32769999999999999</v>
          </cell>
          <cell r="AC260">
            <v>235962</v>
          </cell>
          <cell r="AD260">
            <v>228769</v>
          </cell>
          <cell r="AE260">
            <v>228769</v>
          </cell>
          <cell r="AF260">
            <v>241</v>
          </cell>
          <cell r="AG260">
            <v>238.9</v>
          </cell>
          <cell r="AH260">
            <v>241.5</v>
          </cell>
          <cell r="AI260">
            <v>245.3</v>
          </cell>
          <cell r="AJ260">
            <v>0</v>
          </cell>
          <cell r="AM260">
            <v>0</v>
          </cell>
          <cell r="AN260">
            <v>0</v>
          </cell>
          <cell r="AO260">
            <v>240.3</v>
          </cell>
          <cell r="AQ260">
            <v>0</v>
          </cell>
          <cell r="AT260">
            <v>0</v>
          </cell>
          <cell r="AU260">
            <v>0</v>
          </cell>
          <cell r="AV260">
            <v>2547218</v>
          </cell>
          <cell r="AW260">
            <v>0</v>
          </cell>
          <cell r="AX260">
            <v>0</v>
          </cell>
          <cell r="AY260">
            <v>316239</v>
          </cell>
          <cell r="AZ260">
            <v>1</v>
          </cell>
          <cell r="BA260">
            <v>1</v>
          </cell>
          <cell r="BB260">
            <v>0</v>
          </cell>
          <cell r="BC260">
            <v>0</v>
          </cell>
          <cell r="BE260">
            <v>2737508</v>
          </cell>
          <cell r="BF260">
            <v>2941</v>
          </cell>
          <cell r="BG260">
            <v>3336</v>
          </cell>
          <cell r="BH260">
            <v>33</v>
          </cell>
          <cell r="BI260">
            <v>27177927</v>
          </cell>
          <cell r="BJ260">
            <v>25676158</v>
          </cell>
          <cell r="BL260">
            <v>91</v>
          </cell>
          <cell r="BM260">
            <v>108</v>
          </cell>
          <cell r="BN260">
            <v>121</v>
          </cell>
          <cell r="BO260">
            <v>32</v>
          </cell>
          <cell r="BP260">
            <v>27</v>
          </cell>
          <cell r="BQ260">
            <v>26</v>
          </cell>
        </row>
        <row r="261">
          <cell r="A261">
            <v>480</v>
          </cell>
          <cell r="B261" t="str">
            <v>480 - Liberal</v>
          </cell>
          <cell r="C261" t="str">
            <v>Seward</v>
          </cell>
          <cell r="D261">
            <v>188977905</v>
          </cell>
          <cell r="E261">
            <v>161810286</v>
          </cell>
          <cell r="F261">
            <v>190883579</v>
          </cell>
          <cell r="G261">
            <v>145722792</v>
          </cell>
          <cell r="H261">
            <v>4435.8999999999996</v>
          </cell>
          <cell r="I261">
            <v>4463</v>
          </cell>
          <cell r="J261">
            <v>205</v>
          </cell>
          <cell r="K261">
            <v>41977979</v>
          </cell>
          <cell r="L261">
            <v>4485.7</v>
          </cell>
          <cell r="M261">
            <v>4510.8999999999996</v>
          </cell>
          <cell r="N261">
            <v>4545.5</v>
          </cell>
          <cell r="O261">
            <v>4506.3</v>
          </cell>
          <cell r="P261">
            <v>2701796</v>
          </cell>
          <cell r="Q261">
            <v>2981917</v>
          </cell>
          <cell r="R261">
            <v>10087876</v>
          </cell>
          <cell r="S261">
            <v>2081006</v>
          </cell>
          <cell r="T261">
            <v>0</v>
          </cell>
          <cell r="U261">
            <v>0</v>
          </cell>
          <cell r="V261">
            <v>0.43</v>
          </cell>
          <cell r="W261">
            <v>0.9</v>
          </cell>
          <cell r="X261">
            <v>3479</v>
          </cell>
          <cell r="Y261">
            <v>534</v>
          </cell>
          <cell r="Z261">
            <v>0.89</v>
          </cell>
          <cell r="AA261">
            <v>0.34</v>
          </cell>
          <cell r="AB261">
            <v>0.74329999999999996</v>
          </cell>
          <cell r="AC261">
            <v>5161227</v>
          </cell>
          <cell r="AD261">
            <v>4962602</v>
          </cell>
          <cell r="AE261">
            <v>4962602</v>
          </cell>
          <cell r="AF261">
            <v>4485.7</v>
          </cell>
          <cell r="AG261">
            <v>4510.8999999999996</v>
          </cell>
          <cell r="AH261">
            <v>4545.5</v>
          </cell>
          <cell r="AI261">
            <v>4506.3</v>
          </cell>
          <cell r="AJ261">
            <v>0</v>
          </cell>
          <cell r="AM261">
            <v>39</v>
          </cell>
          <cell r="AN261">
            <v>0</v>
          </cell>
          <cell r="AO261">
            <v>4422.3</v>
          </cell>
          <cell r="AQ261">
            <v>0</v>
          </cell>
          <cell r="AT261">
            <v>0</v>
          </cell>
          <cell r="AU261">
            <v>0</v>
          </cell>
          <cell r="AV261">
            <v>36946822</v>
          </cell>
          <cell r="AW261">
            <v>1275320</v>
          </cell>
          <cell r="AX261">
            <v>1350396</v>
          </cell>
          <cell r="AY261">
            <v>9031743</v>
          </cell>
          <cell r="AZ261">
            <v>1</v>
          </cell>
          <cell r="BA261">
            <v>1</v>
          </cell>
          <cell r="BB261">
            <v>0</v>
          </cell>
          <cell r="BC261">
            <v>0</v>
          </cell>
          <cell r="BE261">
            <v>38770959</v>
          </cell>
          <cell r="BF261">
            <v>0</v>
          </cell>
          <cell r="BG261">
            <v>0</v>
          </cell>
          <cell r="BH261">
            <v>33</v>
          </cell>
          <cell r="BI261">
            <v>187547117</v>
          </cell>
          <cell r="BJ261">
            <v>188981889</v>
          </cell>
          <cell r="BL261">
            <v>2771</v>
          </cell>
          <cell r="BM261">
            <v>3189</v>
          </cell>
          <cell r="BN261">
            <v>3486</v>
          </cell>
          <cell r="BO261">
            <v>628</v>
          </cell>
          <cell r="BP261">
            <v>597</v>
          </cell>
          <cell r="BQ261">
            <v>538</v>
          </cell>
        </row>
        <row r="262">
          <cell r="A262">
            <v>481</v>
          </cell>
          <cell r="B262" t="str">
            <v>481 - Rural Vista</v>
          </cell>
          <cell r="C262" t="str">
            <v>Dickinson</v>
          </cell>
          <cell r="D262">
            <v>46394730</v>
          </cell>
          <cell r="E262">
            <v>42145213</v>
          </cell>
          <cell r="F262">
            <v>46372405</v>
          </cell>
          <cell r="G262">
            <v>39811837</v>
          </cell>
          <cell r="H262">
            <v>251.5</v>
          </cell>
          <cell r="I262">
            <v>269</v>
          </cell>
          <cell r="J262">
            <v>303.8</v>
          </cell>
          <cell r="K262">
            <v>3190767</v>
          </cell>
          <cell r="L262">
            <v>263.7</v>
          </cell>
          <cell r="M262">
            <v>256</v>
          </cell>
          <cell r="N262">
            <v>273.5</v>
          </cell>
          <cell r="O262">
            <v>284.89999999999998</v>
          </cell>
          <cell r="P262">
            <v>266018</v>
          </cell>
          <cell r="Q262">
            <v>311557</v>
          </cell>
          <cell r="R262">
            <v>0</v>
          </cell>
          <cell r="S262">
            <v>401024</v>
          </cell>
          <cell r="T262">
            <v>0</v>
          </cell>
          <cell r="U262">
            <v>0</v>
          </cell>
          <cell r="V262">
            <v>0</v>
          </cell>
          <cell r="W262">
            <v>0</v>
          </cell>
          <cell r="X262">
            <v>123</v>
          </cell>
          <cell r="Y262">
            <v>15</v>
          </cell>
          <cell r="Z262">
            <v>0</v>
          </cell>
          <cell r="AA262">
            <v>0</v>
          </cell>
          <cell r="AB262">
            <v>0</v>
          </cell>
          <cell r="AC262">
            <v>324929</v>
          </cell>
          <cell r="AD262">
            <v>303233</v>
          </cell>
          <cell r="AE262">
            <v>303233</v>
          </cell>
          <cell r="AF262">
            <v>263.7</v>
          </cell>
          <cell r="AG262">
            <v>256</v>
          </cell>
          <cell r="AH262">
            <v>273.5</v>
          </cell>
          <cell r="AI262">
            <v>284.89999999999998</v>
          </cell>
          <cell r="AJ262">
            <v>0</v>
          </cell>
          <cell r="AM262">
            <v>9</v>
          </cell>
          <cell r="AN262">
            <v>0</v>
          </cell>
          <cell r="AO262">
            <v>281.89999999999998</v>
          </cell>
          <cell r="AQ262">
            <v>0</v>
          </cell>
          <cell r="AT262">
            <v>0</v>
          </cell>
          <cell r="AU262">
            <v>0</v>
          </cell>
          <cell r="AV262">
            <v>2579279</v>
          </cell>
          <cell r="AW262">
            <v>0</v>
          </cell>
          <cell r="AX262">
            <v>0</v>
          </cell>
          <cell r="AY262">
            <v>0</v>
          </cell>
          <cell r="AZ262">
            <v>1</v>
          </cell>
          <cell r="BA262">
            <v>1</v>
          </cell>
          <cell r="BB262">
            <v>0</v>
          </cell>
          <cell r="BC262">
            <v>0</v>
          </cell>
          <cell r="BE262">
            <v>2877304</v>
          </cell>
          <cell r="BF262">
            <v>883</v>
          </cell>
          <cell r="BG262">
            <v>1037</v>
          </cell>
          <cell r="BH262">
            <v>33</v>
          </cell>
          <cell r="BI262">
            <v>47713211</v>
          </cell>
          <cell r="BJ262">
            <v>47555512</v>
          </cell>
          <cell r="BL262">
            <v>76</v>
          </cell>
          <cell r="BM262">
            <v>105</v>
          </cell>
          <cell r="BN262">
            <v>109</v>
          </cell>
          <cell r="BO262">
            <v>23</v>
          </cell>
          <cell r="BP262">
            <v>13</v>
          </cell>
          <cell r="BQ262">
            <v>18</v>
          </cell>
        </row>
        <row r="263">
          <cell r="A263">
            <v>482</v>
          </cell>
          <cell r="B263" t="str">
            <v>482 - Dighton</v>
          </cell>
          <cell r="C263" t="str">
            <v>Lane</v>
          </cell>
          <cell r="D263">
            <v>40388553</v>
          </cell>
          <cell r="E263">
            <v>37455121</v>
          </cell>
          <cell r="F263">
            <v>36682263</v>
          </cell>
          <cell r="G263">
            <v>32338365</v>
          </cell>
          <cell r="H263">
            <v>234</v>
          </cell>
          <cell r="I263">
            <v>228.5</v>
          </cell>
          <cell r="J263">
            <v>619.5</v>
          </cell>
          <cell r="K263">
            <v>2598112</v>
          </cell>
          <cell r="L263">
            <v>234.8</v>
          </cell>
          <cell r="M263">
            <v>238</v>
          </cell>
          <cell r="N263">
            <v>231.5</v>
          </cell>
          <cell r="O263">
            <v>213</v>
          </cell>
          <cell r="P263">
            <v>177239</v>
          </cell>
          <cell r="Q263">
            <v>181392</v>
          </cell>
          <cell r="R263">
            <v>0</v>
          </cell>
          <cell r="S263">
            <v>205278</v>
          </cell>
          <cell r="T263">
            <v>20885</v>
          </cell>
          <cell r="U263">
            <v>21486</v>
          </cell>
          <cell r="V263">
            <v>0</v>
          </cell>
          <cell r="W263">
            <v>0</v>
          </cell>
          <cell r="X263">
            <v>78</v>
          </cell>
          <cell r="Y263">
            <v>24</v>
          </cell>
          <cell r="Z263">
            <v>0</v>
          </cell>
          <cell r="AA263">
            <v>0</v>
          </cell>
          <cell r="AB263">
            <v>0</v>
          </cell>
          <cell r="AC263">
            <v>241242</v>
          </cell>
          <cell r="AD263">
            <v>220429</v>
          </cell>
          <cell r="AE263">
            <v>220429</v>
          </cell>
          <cell r="AF263">
            <v>234.8</v>
          </cell>
          <cell r="AG263">
            <v>238</v>
          </cell>
          <cell r="AH263">
            <v>231.5</v>
          </cell>
          <cell r="AI263">
            <v>213</v>
          </cell>
          <cell r="AJ263">
            <v>0</v>
          </cell>
          <cell r="AM263">
            <v>0</v>
          </cell>
          <cell r="AN263">
            <v>0</v>
          </cell>
          <cell r="AO263">
            <v>207</v>
          </cell>
          <cell r="AQ263">
            <v>0</v>
          </cell>
          <cell r="AT263">
            <v>0</v>
          </cell>
          <cell r="AU263">
            <v>0</v>
          </cell>
          <cell r="AV263">
            <v>2347653</v>
          </cell>
          <cell r="AW263">
            <v>0</v>
          </cell>
          <cell r="AX263">
            <v>0</v>
          </cell>
          <cell r="AY263">
            <v>0</v>
          </cell>
          <cell r="AZ263">
            <v>1</v>
          </cell>
          <cell r="BA263">
            <v>1</v>
          </cell>
          <cell r="BB263">
            <v>23360</v>
          </cell>
          <cell r="BC263">
            <v>23480</v>
          </cell>
          <cell r="BE263">
            <v>2390880</v>
          </cell>
          <cell r="BF263">
            <v>2219</v>
          </cell>
          <cell r="BG263">
            <v>941</v>
          </cell>
          <cell r="BH263">
            <v>33</v>
          </cell>
          <cell r="BI263">
            <v>40388553</v>
          </cell>
          <cell r="BJ263">
            <v>36682263</v>
          </cell>
          <cell r="BL263">
            <v>60</v>
          </cell>
          <cell r="BM263">
            <v>99</v>
          </cell>
          <cell r="BN263">
            <v>95</v>
          </cell>
          <cell r="BO263">
            <v>56</v>
          </cell>
          <cell r="BP263">
            <v>18</v>
          </cell>
          <cell r="BQ263">
            <v>14</v>
          </cell>
        </row>
        <row r="264">
          <cell r="A264">
            <v>483</v>
          </cell>
          <cell r="B264" t="str">
            <v>483 - Kismet-Plains</v>
          </cell>
          <cell r="C264" t="str">
            <v>Seward</v>
          </cell>
          <cell r="D264">
            <v>100295214</v>
          </cell>
          <cell r="E264">
            <v>95857147</v>
          </cell>
          <cell r="F264">
            <v>97805848</v>
          </cell>
          <cell r="G264">
            <v>90903885</v>
          </cell>
          <cell r="H264">
            <v>552.5</v>
          </cell>
          <cell r="I264">
            <v>530</v>
          </cell>
          <cell r="J264">
            <v>541</v>
          </cell>
          <cell r="K264">
            <v>6875617</v>
          </cell>
          <cell r="L264">
            <v>580.5</v>
          </cell>
          <cell r="M264">
            <v>568.5</v>
          </cell>
          <cell r="N264">
            <v>550.5</v>
          </cell>
          <cell r="O264">
            <v>546.5</v>
          </cell>
          <cell r="P264">
            <v>480662</v>
          </cell>
          <cell r="Q264">
            <v>469684</v>
          </cell>
          <cell r="R264">
            <v>0</v>
          </cell>
          <cell r="S264">
            <v>599845</v>
          </cell>
          <cell r="T264">
            <v>4076</v>
          </cell>
          <cell r="U264">
            <v>3459</v>
          </cell>
          <cell r="V264">
            <v>0</v>
          </cell>
          <cell r="W264">
            <v>0</v>
          </cell>
          <cell r="X264">
            <v>363</v>
          </cell>
          <cell r="Y264">
            <v>72</v>
          </cell>
          <cell r="Z264">
            <v>0</v>
          </cell>
          <cell r="AA264">
            <v>0</v>
          </cell>
          <cell r="AB264">
            <v>0</v>
          </cell>
          <cell r="AC264">
            <v>789446</v>
          </cell>
          <cell r="AD264">
            <v>720302</v>
          </cell>
          <cell r="AE264">
            <v>720302</v>
          </cell>
          <cell r="AF264">
            <v>580.5</v>
          </cell>
          <cell r="AG264">
            <v>568.5</v>
          </cell>
          <cell r="AH264">
            <v>550.5</v>
          </cell>
          <cell r="AI264">
            <v>546.5</v>
          </cell>
          <cell r="AJ264">
            <v>0</v>
          </cell>
          <cell r="AM264">
            <v>0</v>
          </cell>
          <cell r="AN264">
            <v>0</v>
          </cell>
          <cell r="AO264">
            <v>525.5</v>
          </cell>
          <cell r="AQ264">
            <v>0</v>
          </cell>
          <cell r="AT264">
            <v>0</v>
          </cell>
          <cell r="AU264">
            <v>0</v>
          </cell>
          <cell r="AV264">
            <v>6220808</v>
          </cell>
          <cell r="AW264">
            <v>0</v>
          </cell>
          <cell r="AX264">
            <v>0</v>
          </cell>
          <cell r="AY264">
            <v>0</v>
          </cell>
          <cell r="AZ264">
            <v>1</v>
          </cell>
          <cell r="BA264">
            <v>1</v>
          </cell>
          <cell r="BB264">
            <v>0</v>
          </cell>
          <cell r="BC264">
            <v>0</v>
          </cell>
          <cell r="BE264">
            <v>6402872</v>
          </cell>
          <cell r="BF264">
            <v>1727</v>
          </cell>
          <cell r="BG264">
            <v>1671</v>
          </cell>
          <cell r="BH264">
            <v>33</v>
          </cell>
          <cell r="BI264">
            <v>100295214</v>
          </cell>
          <cell r="BJ264">
            <v>90927587</v>
          </cell>
          <cell r="BL264">
            <v>275</v>
          </cell>
          <cell r="BM264">
            <v>361</v>
          </cell>
          <cell r="BN264">
            <v>344</v>
          </cell>
          <cell r="BO264">
            <v>126</v>
          </cell>
          <cell r="BP264">
            <v>66</v>
          </cell>
          <cell r="BQ264">
            <v>82</v>
          </cell>
        </row>
        <row r="265">
          <cell r="A265">
            <v>484</v>
          </cell>
          <cell r="B265" t="str">
            <v>484 - Fredonia</v>
          </cell>
          <cell r="C265" t="str">
            <v>Wilson</v>
          </cell>
          <cell r="D265">
            <v>49175960</v>
          </cell>
          <cell r="E265">
            <v>40571530</v>
          </cell>
          <cell r="F265">
            <v>50406297</v>
          </cell>
          <cell r="G265">
            <v>37646749</v>
          </cell>
          <cell r="H265">
            <v>627.5</v>
          </cell>
          <cell r="I265">
            <v>597</v>
          </cell>
          <cell r="J265">
            <v>402</v>
          </cell>
          <cell r="K265">
            <v>6410062</v>
          </cell>
          <cell r="L265">
            <v>637.29999999999995</v>
          </cell>
          <cell r="M265">
            <v>637</v>
          </cell>
          <cell r="N265">
            <v>605.29999999999995</v>
          </cell>
          <cell r="O265">
            <v>617.4</v>
          </cell>
          <cell r="P265">
            <v>553629</v>
          </cell>
          <cell r="Q265">
            <v>611708</v>
          </cell>
          <cell r="R265">
            <v>1091481</v>
          </cell>
          <cell r="S265">
            <v>658732</v>
          </cell>
          <cell r="T265">
            <v>5229</v>
          </cell>
          <cell r="U265">
            <v>7815</v>
          </cell>
          <cell r="V265">
            <v>0.04</v>
          </cell>
          <cell r="W265">
            <v>0.51</v>
          </cell>
          <cell r="X265">
            <v>275</v>
          </cell>
          <cell r="Y265">
            <v>48</v>
          </cell>
          <cell r="Z265">
            <v>0.5</v>
          </cell>
          <cell r="AA265">
            <v>0</v>
          </cell>
          <cell r="AB265">
            <v>0.51280000000000003</v>
          </cell>
          <cell r="AC265">
            <v>647294</v>
          </cell>
          <cell r="AD265">
            <v>612885</v>
          </cell>
          <cell r="AE265">
            <v>612885</v>
          </cell>
          <cell r="AF265">
            <v>637</v>
          </cell>
          <cell r="AG265">
            <v>637</v>
          </cell>
          <cell r="AH265">
            <v>604.5</v>
          </cell>
          <cell r="AI265">
            <v>617.1</v>
          </cell>
          <cell r="AJ265">
            <v>0</v>
          </cell>
          <cell r="AM265">
            <v>19</v>
          </cell>
          <cell r="AN265">
            <v>0</v>
          </cell>
          <cell r="AO265">
            <v>605.1</v>
          </cell>
          <cell r="AQ265">
            <v>0</v>
          </cell>
          <cell r="AT265">
            <v>0</v>
          </cell>
          <cell r="AU265">
            <v>0</v>
          </cell>
          <cell r="AV265">
            <v>5502944</v>
          </cell>
          <cell r="AW265">
            <v>202058</v>
          </cell>
          <cell r="AX265">
            <v>211341</v>
          </cell>
          <cell r="AY265">
            <v>1027525</v>
          </cell>
          <cell r="AZ265">
            <v>1</v>
          </cell>
          <cell r="BA265">
            <v>1</v>
          </cell>
          <cell r="BB265">
            <v>0</v>
          </cell>
          <cell r="BC265">
            <v>0</v>
          </cell>
          <cell r="BE265">
            <v>5798278</v>
          </cell>
          <cell r="BF265">
            <v>0</v>
          </cell>
          <cell r="BG265">
            <v>0</v>
          </cell>
          <cell r="BH265">
            <v>33</v>
          </cell>
          <cell r="BI265">
            <v>48571589</v>
          </cell>
          <cell r="BJ265">
            <v>49844679</v>
          </cell>
          <cell r="BL265">
            <v>229</v>
          </cell>
          <cell r="BM265">
            <v>320</v>
          </cell>
          <cell r="BN265">
            <v>267</v>
          </cell>
          <cell r="BO265">
            <v>72</v>
          </cell>
          <cell r="BP265">
            <v>51</v>
          </cell>
          <cell r="BQ265">
            <v>55</v>
          </cell>
        </row>
        <row r="266">
          <cell r="A266">
            <v>487</v>
          </cell>
          <cell r="B266" t="str">
            <v>487 - Herington</v>
          </cell>
          <cell r="C266" t="str">
            <v>Dickinson</v>
          </cell>
          <cell r="D266">
            <v>27226848</v>
          </cell>
          <cell r="E266">
            <v>21961924</v>
          </cell>
          <cell r="F266">
            <v>27618232</v>
          </cell>
          <cell r="G266">
            <v>19909995</v>
          </cell>
          <cell r="H266">
            <v>407.5</v>
          </cell>
          <cell r="I266">
            <v>379.1</v>
          </cell>
          <cell r="J266">
            <v>93.7</v>
          </cell>
          <cell r="K266">
            <v>4583750</v>
          </cell>
          <cell r="L266">
            <v>416.6</v>
          </cell>
          <cell r="M266">
            <v>432.6</v>
          </cell>
          <cell r="N266">
            <v>396.1</v>
          </cell>
          <cell r="O266">
            <v>407.4</v>
          </cell>
          <cell r="P266">
            <v>474126</v>
          </cell>
          <cell r="Q266">
            <v>507452</v>
          </cell>
          <cell r="R266">
            <v>931364</v>
          </cell>
          <cell r="S266">
            <v>463854</v>
          </cell>
          <cell r="T266">
            <v>0</v>
          </cell>
          <cell r="U266">
            <v>5648</v>
          </cell>
          <cell r="V266">
            <v>0.16</v>
          </cell>
          <cell r="W266">
            <v>0.64</v>
          </cell>
          <cell r="X266">
            <v>241</v>
          </cell>
          <cell r="Y266">
            <v>45</v>
          </cell>
          <cell r="Z266">
            <v>0.63</v>
          </cell>
          <cell r="AA266">
            <v>0.08</v>
          </cell>
          <cell r="AB266">
            <v>0.60109999999999997</v>
          </cell>
          <cell r="AC266">
            <v>452756</v>
          </cell>
          <cell r="AD266">
            <v>445850</v>
          </cell>
          <cell r="AE266">
            <v>445850</v>
          </cell>
          <cell r="AF266">
            <v>405</v>
          </cell>
          <cell r="AG266">
            <v>415.5</v>
          </cell>
          <cell r="AH266">
            <v>387.1</v>
          </cell>
          <cell r="AI266">
            <v>397.4</v>
          </cell>
          <cell r="AJ266">
            <v>0</v>
          </cell>
          <cell r="AM266">
            <v>29</v>
          </cell>
          <cell r="AN266">
            <v>0</v>
          </cell>
          <cell r="AO266">
            <v>389.9</v>
          </cell>
          <cell r="AQ266">
            <v>0</v>
          </cell>
          <cell r="AT266">
            <v>0</v>
          </cell>
          <cell r="AU266">
            <v>0</v>
          </cell>
          <cell r="AV266">
            <v>3958224</v>
          </cell>
          <cell r="AW266">
            <v>152100</v>
          </cell>
          <cell r="AX266">
            <v>141099</v>
          </cell>
          <cell r="AY266">
            <v>927857</v>
          </cell>
          <cell r="AZ266">
            <v>1</v>
          </cell>
          <cell r="BA266">
            <v>1</v>
          </cell>
          <cell r="BB266">
            <v>51790</v>
          </cell>
          <cell r="BC266">
            <v>52320</v>
          </cell>
          <cell r="BE266">
            <v>4076269</v>
          </cell>
          <cell r="BF266">
            <v>5129</v>
          </cell>
          <cell r="BG266">
            <v>1898</v>
          </cell>
          <cell r="BH266">
            <v>33</v>
          </cell>
          <cell r="BI266">
            <v>27160565</v>
          </cell>
          <cell r="BJ266">
            <v>27558405</v>
          </cell>
          <cell r="BL266">
            <v>216</v>
          </cell>
          <cell r="BM266">
            <v>268</v>
          </cell>
          <cell r="BN266">
            <v>250</v>
          </cell>
          <cell r="BO266">
            <v>45</v>
          </cell>
          <cell r="BP266">
            <v>42</v>
          </cell>
          <cell r="BQ266">
            <v>39</v>
          </cell>
        </row>
        <row r="267">
          <cell r="A267">
            <v>489</v>
          </cell>
          <cell r="B267" t="str">
            <v>489 - Hays</v>
          </cell>
          <cell r="C267" t="str">
            <v>Ellis</v>
          </cell>
          <cell r="D267">
            <v>419856907</v>
          </cell>
          <cell r="E267">
            <v>379429303</v>
          </cell>
          <cell r="F267">
            <v>441655400</v>
          </cell>
          <cell r="G267">
            <v>370245653</v>
          </cell>
          <cell r="H267">
            <v>3109.4</v>
          </cell>
          <cell r="I267">
            <v>3105.1</v>
          </cell>
          <cell r="J267">
            <v>380.5</v>
          </cell>
          <cell r="K267">
            <v>26154659</v>
          </cell>
          <cell r="L267">
            <v>3131.8</v>
          </cell>
          <cell r="M267">
            <v>3202.7</v>
          </cell>
          <cell r="N267">
            <v>3215.6</v>
          </cell>
          <cell r="O267">
            <v>3236.5</v>
          </cell>
          <cell r="P267">
            <v>3691786</v>
          </cell>
          <cell r="Q267">
            <v>3982378</v>
          </cell>
          <cell r="R267">
            <v>2030290</v>
          </cell>
          <cell r="S267">
            <v>3138412</v>
          </cell>
          <cell r="T267">
            <v>0</v>
          </cell>
          <cell r="U267">
            <v>0</v>
          </cell>
          <cell r="V267">
            <v>0</v>
          </cell>
          <cell r="W267">
            <v>0</v>
          </cell>
          <cell r="X267">
            <v>1066</v>
          </cell>
          <cell r="Y267">
            <v>258</v>
          </cell>
          <cell r="Z267">
            <v>0</v>
          </cell>
          <cell r="AA267">
            <v>0</v>
          </cell>
          <cell r="AB267">
            <v>0.20730000000000001</v>
          </cell>
          <cell r="AC267">
            <v>3673242</v>
          </cell>
          <cell r="AD267">
            <v>3697696</v>
          </cell>
          <cell r="AE267">
            <v>3697696</v>
          </cell>
          <cell r="AF267">
            <v>3095.4</v>
          </cell>
          <cell r="AG267">
            <v>3144.9</v>
          </cell>
          <cell r="AH267">
            <v>3148.1</v>
          </cell>
          <cell r="AI267">
            <v>3159.1</v>
          </cell>
          <cell r="AJ267">
            <v>0</v>
          </cell>
          <cell r="AM267">
            <v>25</v>
          </cell>
          <cell r="AN267">
            <v>0</v>
          </cell>
          <cell r="AO267">
            <v>3119.1</v>
          </cell>
          <cell r="AQ267">
            <v>0</v>
          </cell>
          <cell r="AT267">
            <v>0</v>
          </cell>
          <cell r="AU267">
            <v>0</v>
          </cell>
          <cell r="AV267">
            <v>21090756</v>
          </cell>
          <cell r="AW267">
            <v>298347</v>
          </cell>
          <cell r="AX267">
            <v>105037</v>
          </cell>
          <cell r="AY267">
            <v>2053319</v>
          </cell>
          <cell r="AZ267">
            <v>1</v>
          </cell>
          <cell r="BA267">
            <v>1</v>
          </cell>
          <cell r="BB267">
            <v>76570</v>
          </cell>
          <cell r="BC267">
            <v>87490</v>
          </cell>
          <cell r="BE267">
            <v>22140671</v>
          </cell>
          <cell r="BF267">
            <v>16798</v>
          </cell>
          <cell r="BG267">
            <v>16874</v>
          </cell>
          <cell r="BH267">
            <v>33</v>
          </cell>
          <cell r="BI267">
            <v>416348693</v>
          </cell>
          <cell r="BJ267">
            <v>437655076</v>
          </cell>
          <cell r="BL267">
            <v>929</v>
          </cell>
          <cell r="BM267">
            <v>1135</v>
          </cell>
          <cell r="BN267">
            <v>1156</v>
          </cell>
          <cell r="BO267">
            <v>323</v>
          </cell>
          <cell r="BP267">
            <v>260</v>
          </cell>
          <cell r="BQ267">
            <v>268</v>
          </cell>
        </row>
        <row r="268">
          <cell r="A268">
            <v>490</v>
          </cell>
          <cell r="B268" t="str">
            <v>490 - El Dorado</v>
          </cell>
          <cell r="C268" t="str">
            <v>Butler</v>
          </cell>
          <cell r="D268">
            <v>209666948</v>
          </cell>
          <cell r="E268">
            <v>186768959</v>
          </cell>
          <cell r="F268">
            <v>215651590</v>
          </cell>
          <cell r="G268">
            <v>176974076</v>
          </cell>
          <cell r="H268">
            <v>1740</v>
          </cell>
          <cell r="I268">
            <v>1710.1</v>
          </cell>
          <cell r="J268">
            <v>128</v>
          </cell>
          <cell r="K268">
            <v>15533798</v>
          </cell>
          <cell r="L268">
            <v>1774.1</v>
          </cell>
          <cell r="M268">
            <v>1980.4</v>
          </cell>
          <cell r="N268">
            <v>1755.7</v>
          </cell>
          <cell r="O268">
            <v>1739.1</v>
          </cell>
          <cell r="P268">
            <v>1647223</v>
          </cell>
          <cell r="Q268">
            <v>1788324</v>
          </cell>
          <cell r="R268">
            <v>1591393</v>
          </cell>
          <cell r="S268">
            <v>1883402</v>
          </cell>
          <cell r="T268">
            <v>0</v>
          </cell>
          <cell r="U268">
            <v>0</v>
          </cell>
          <cell r="V268">
            <v>0</v>
          </cell>
          <cell r="W268">
            <v>0.09</v>
          </cell>
          <cell r="X268">
            <v>1010</v>
          </cell>
          <cell r="Y268">
            <v>135</v>
          </cell>
          <cell r="Z268">
            <v>0.08</v>
          </cell>
          <cell r="AA268">
            <v>0</v>
          </cell>
          <cell r="AB268">
            <v>0.29039999999999999</v>
          </cell>
          <cell r="AC268">
            <v>1651123</v>
          </cell>
          <cell r="AD268">
            <v>1530837</v>
          </cell>
          <cell r="AE268">
            <v>1530837</v>
          </cell>
          <cell r="AF268">
            <v>1746</v>
          </cell>
          <cell r="AG268">
            <v>1770</v>
          </cell>
          <cell r="AH268">
            <v>1742.1</v>
          </cell>
          <cell r="AI268">
            <v>1715.6</v>
          </cell>
          <cell r="AJ268">
            <v>0</v>
          </cell>
          <cell r="AM268">
            <v>16</v>
          </cell>
          <cell r="AN268">
            <v>0</v>
          </cell>
          <cell r="AO268">
            <v>1686.1</v>
          </cell>
          <cell r="AQ268">
            <v>0</v>
          </cell>
          <cell r="AT268">
            <v>0</v>
          </cell>
          <cell r="AU268">
            <v>0</v>
          </cell>
          <cell r="AV268">
            <v>13105319</v>
          </cell>
          <cell r="AW268">
            <v>364232</v>
          </cell>
          <cell r="AX268">
            <v>219995</v>
          </cell>
          <cell r="AY268">
            <v>1578160</v>
          </cell>
          <cell r="AZ268">
            <v>1</v>
          </cell>
          <cell r="BA268">
            <v>1</v>
          </cell>
          <cell r="BB268">
            <v>0</v>
          </cell>
          <cell r="BC268">
            <v>0</v>
          </cell>
          <cell r="BE268">
            <v>13743668</v>
          </cell>
          <cell r="BF268">
            <v>8752</v>
          </cell>
          <cell r="BG268">
            <v>7269</v>
          </cell>
          <cell r="BH268">
            <v>33</v>
          </cell>
          <cell r="BI268">
            <v>209666948</v>
          </cell>
          <cell r="BJ268">
            <v>213454423</v>
          </cell>
          <cell r="BL268">
            <v>823</v>
          </cell>
          <cell r="BM268">
            <v>978</v>
          </cell>
          <cell r="BN268">
            <v>1014</v>
          </cell>
          <cell r="BO268">
            <v>198</v>
          </cell>
          <cell r="BP268">
            <v>104</v>
          </cell>
          <cell r="BQ268">
            <v>124</v>
          </cell>
        </row>
        <row r="269">
          <cell r="A269">
            <v>491</v>
          </cell>
          <cell r="B269" t="str">
            <v>491 - Eudora</v>
          </cell>
          <cell r="C269" t="str">
            <v>Douglas</v>
          </cell>
          <cell r="D269">
            <v>104948102</v>
          </cell>
          <cell r="E269">
            <v>92390045</v>
          </cell>
          <cell r="F269">
            <v>113047820</v>
          </cell>
          <cell r="G269">
            <v>90695025</v>
          </cell>
          <cell r="H269">
            <v>1620.3</v>
          </cell>
          <cell r="I269">
            <v>1597</v>
          </cell>
          <cell r="J269">
            <v>53</v>
          </cell>
          <cell r="K269">
            <v>13345333</v>
          </cell>
          <cell r="L269">
            <v>1659.4</v>
          </cell>
          <cell r="M269">
            <v>1651.7</v>
          </cell>
          <cell r="N269">
            <v>1643.9</v>
          </cell>
          <cell r="O269">
            <v>1632.9</v>
          </cell>
          <cell r="P269">
            <v>2025231</v>
          </cell>
          <cell r="Q269">
            <v>2356937</v>
          </cell>
          <cell r="R269">
            <v>2781267</v>
          </cell>
          <cell r="S269">
            <v>1227861</v>
          </cell>
          <cell r="T269">
            <v>0</v>
          </cell>
          <cell r="U269">
            <v>0</v>
          </cell>
          <cell r="V269">
            <v>0.16</v>
          </cell>
          <cell r="W269">
            <v>0.63</v>
          </cell>
          <cell r="X269">
            <v>477</v>
          </cell>
          <cell r="Y269">
            <v>123</v>
          </cell>
          <cell r="Z269">
            <v>0.62</v>
          </cell>
          <cell r="AA269">
            <v>7.0000000000000007E-2</v>
          </cell>
          <cell r="AB269">
            <v>0.60599999999999998</v>
          </cell>
          <cell r="AC269">
            <v>1559814</v>
          </cell>
          <cell r="AD269">
            <v>1538804</v>
          </cell>
          <cell r="AE269">
            <v>1538804</v>
          </cell>
          <cell r="AF269">
            <v>1638.3</v>
          </cell>
          <cell r="AG269">
            <v>1630.3</v>
          </cell>
          <cell r="AH269">
            <v>1611.5</v>
          </cell>
          <cell r="AI269">
            <v>1614.1</v>
          </cell>
          <cell r="AJ269">
            <v>2.2000000000000001E-3</v>
          </cell>
          <cell r="AM269">
            <v>5</v>
          </cell>
          <cell r="AN269">
            <v>0</v>
          </cell>
          <cell r="AO269">
            <v>1586.1</v>
          </cell>
          <cell r="AQ269">
            <v>0</v>
          </cell>
          <cell r="AT269">
            <v>0</v>
          </cell>
          <cell r="AU269">
            <v>0</v>
          </cell>
          <cell r="AV269">
            <v>10489349</v>
          </cell>
          <cell r="AW269">
            <v>561193</v>
          </cell>
          <cell r="AX269">
            <v>622053</v>
          </cell>
          <cell r="AY269">
            <v>2671173</v>
          </cell>
          <cell r="AZ269">
            <v>1</v>
          </cell>
          <cell r="BA269">
            <v>1</v>
          </cell>
          <cell r="BB269">
            <v>0</v>
          </cell>
          <cell r="BC269">
            <v>0</v>
          </cell>
          <cell r="BE269">
            <v>10988396</v>
          </cell>
          <cell r="BF269">
            <v>68</v>
          </cell>
          <cell r="BG269">
            <v>4915</v>
          </cell>
          <cell r="BH269">
            <v>33</v>
          </cell>
          <cell r="BI269">
            <v>104776646</v>
          </cell>
          <cell r="BJ269">
            <v>112690778</v>
          </cell>
          <cell r="BL269">
            <v>275</v>
          </cell>
          <cell r="BM269">
            <v>447</v>
          </cell>
          <cell r="BN269">
            <v>466</v>
          </cell>
          <cell r="BO269">
            <v>135</v>
          </cell>
          <cell r="BP269">
            <v>111</v>
          </cell>
          <cell r="BQ269">
            <v>114</v>
          </cell>
        </row>
        <row r="270">
          <cell r="A270">
            <v>492</v>
          </cell>
          <cell r="B270" t="str">
            <v>492 - Flinthills</v>
          </cell>
          <cell r="C270" t="str">
            <v>Butler</v>
          </cell>
          <cell r="D270">
            <v>30161809</v>
          </cell>
          <cell r="E270">
            <v>27267950</v>
          </cell>
          <cell r="F270">
            <v>31752967</v>
          </cell>
          <cell r="G270">
            <v>26931444</v>
          </cell>
          <cell r="H270">
            <v>269</v>
          </cell>
          <cell r="I270">
            <v>254</v>
          </cell>
          <cell r="J270">
            <v>389</v>
          </cell>
          <cell r="K270">
            <v>3220697</v>
          </cell>
          <cell r="L270">
            <v>283.5</v>
          </cell>
          <cell r="M270">
            <v>275.5</v>
          </cell>
          <cell r="N270">
            <v>263</v>
          </cell>
          <cell r="O270">
            <v>262</v>
          </cell>
          <cell r="P270">
            <v>313725</v>
          </cell>
          <cell r="Q270">
            <v>347233</v>
          </cell>
          <cell r="R270">
            <v>383314</v>
          </cell>
          <cell r="S270">
            <v>293427</v>
          </cell>
          <cell r="T270">
            <v>0</v>
          </cell>
          <cell r="U270">
            <v>0</v>
          </cell>
          <cell r="V270">
            <v>0</v>
          </cell>
          <cell r="W270">
            <v>0.11</v>
          </cell>
          <cell r="X270">
            <v>120</v>
          </cell>
          <cell r="Y270">
            <v>19</v>
          </cell>
          <cell r="Z270">
            <v>0.1</v>
          </cell>
          <cell r="AA270">
            <v>0</v>
          </cell>
          <cell r="AB270">
            <v>0.30480000000000002</v>
          </cell>
          <cell r="AC270">
            <v>295688</v>
          </cell>
          <cell r="AD270">
            <v>265842</v>
          </cell>
          <cell r="AE270">
            <v>265842</v>
          </cell>
          <cell r="AF270">
            <v>281.5</v>
          </cell>
          <cell r="AG270">
            <v>271.5</v>
          </cell>
          <cell r="AH270">
            <v>259</v>
          </cell>
          <cell r="AI270">
            <v>258</v>
          </cell>
          <cell r="AJ270">
            <v>0</v>
          </cell>
          <cell r="AM270">
            <v>0</v>
          </cell>
          <cell r="AN270">
            <v>0</v>
          </cell>
          <cell r="AO270">
            <v>254.5</v>
          </cell>
          <cell r="AQ270">
            <v>0</v>
          </cell>
          <cell r="AT270">
            <v>0</v>
          </cell>
          <cell r="AU270">
            <v>0</v>
          </cell>
          <cell r="AV270">
            <v>2773781</v>
          </cell>
          <cell r="AW270">
            <v>65149</v>
          </cell>
          <cell r="AX270">
            <v>43167</v>
          </cell>
          <cell r="AY270">
            <v>395179</v>
          </cell>
          <cell r="AZ270">
            <v>1</v>
          </cell>
          <cell r="BA270">
            <v>1</v>
          </cell>
          <cell r="BB270">
            <v>0</v>
          </cell>
          <cell r="BC270">
            <v>0</v>
          </cell>
          <cell r="BE270">
            <v>2873103</v>
          </cell>
          <cell r="BF270">
            <v>1241</v>
          </cell>
          <cell r="BG270">
            <v>1249</v>
          </cell>
          <cell r="BH270">
            <v>33</v>
          </cell>
          <cell r="BI270">
            <v>30161809</v>
          </cell>
          <cell r="BJ270">
            <v>31752967</v>
          </cell>
          <cell r="BL270">
            <v>112</v>
          </cell>
          <cell r="BM270">
            <v>123</v>
          </cell>
          <cell r="BN270">
            <v>112</v>
          </cell>
          <cell r="BO270">
            <v>37</v>
          </cell>
          <cell r="BP270">
            <v>27</v>
          </cell>
          <cell r="BQ270">
            <v>21</v>
          </cell>
        </row>
        <row r="271">
          <cell r="A271">
            <v>493</v>
          </cell>
          <cell r="B271" t="str">
            <v>493 - Columbus</v>
          </cell>
          <cell r="C271" t="str">
            <v>Cherokee</v>
          </cell>
          <cell r="D271">
            <v>92936966</v>
          </cell>
          <cell r="E271">
            <v>79721824</v>
          </cell>
          <cell r="F271">
            <v>97112701</v>
          </cell>
          <cell r="G271">
            <v>76521883</v>
          </cell>
          <cell r="H271">
            <v>886</v>
          </cell>
          <cell r="I271">
            <v>941</v>
          </cell>
          <cell r="J271">
            <v>354</v>
          </cell>
          <cell r="K271">
            <v>9557466</v>
          </cell>
          <cell r="L271">
            <v>891.5</v>
          </cell>
          <cell r="M271">
            <v>907.8</v>
          </cell>
          <cell r="N271">
            <v>957</v>
          </cell>
          <cell r="O271">
            <v>961.5</v>
          </cell>
          <cell r="P271">
            <v>944880</v>
          </cell>
          <cell r="Q271">
            <v>1083558</v>
          </cell>
          <cell r="R271">
            <v>1301582</v>
          </cell>
          <cell r="S271">
            <v>1047175</v>
          </cell>
          <cell r="T271">
            <v>0</v>
          </cell>
          <cell r="U271">
            <v>0</v>
          </cell>
          <cell r="V271">
            <v>0</v>
          </cell>
          <cell r="W271">
            <v>0.32</v>
          </cell>
          <cell r="X271">
            <v>473</v>
          </cell>
          <cell r="Y271">
            <v>111</v>
          </cell>
          <cell r="Z271">
            <v>0.31</v>
          </cell>
          <cell r="AA271">
            <v>0</v>
          </cell>
          <cell r="AB271">
            <v>0.40489999999999998</v>
          </cell>
          <cell r="AC271">
            <v>945000</v>
          </cell>
          <cell r="AD271">
            <v>891307</v>
          </cell>
          <cell r="AE271">
            <v>891307</v>
          </cell>
          <cell r="AF271">
            <v>884.7</v>
          </cell>
          <cell r="AG271">
            <v>904</v>
          </cell>
          <cell r="AH271">
            <v>956</v>
          </cell>
          <cell r="AI271">
            <v>960.5</v>
          </cell>
          <cell r="AJ271">
            <v>0</v>
          </cell>
          <cell r="AM271">
            <v>0</v>
          </cell>
          <cell r="AN271">
            <v>0</v>
          </cell>
          <cell r="AO271">
            <v>941</v>
          </cell>
          <cell r="AQ271">
            <v>0</v>
          </cell>
          <cell r="AT271">
            <v>0</v>
          </cell>
          <cell r="AU271">
            <v>0</v>
          </cell>
          <cell r="AV271">
            <v>7893505</v>
          </cell>
          <cell r="AW271">
            <v>256135</v>
          </cell>
          <cell r="AX271">
            <v>283370</v>
          </cell>
          <cell r="AY271">
            <v>1159922</v>
          </cell>
          <cell r="AZ271">
            <v>1</v>
          </cell>
          <cell r="BA271">
            <v>1</v>
          </cell>
          <cell r="BB271">
            <v>0</v>
          </cell>
          <cell r="BC271">
            <v>0</v>
          </cell>
          <cell r="BE271">
            <v>8473908</v>
          </cell>
          <cell r="BF271">
            <v>6161</v>
          </cell>
          <cell r="BG271">
            <v>7318</v>
          </cell>
          <cell r="BH271">
            <v>33</v>
          </cell>
          <cell r="BI271">
            <v>91533883</v>
          </cell>
          <cell r="BJ271">
            <v>95733114</v>
          </cell>
          <cell r="BL271">
            <v>358</v>
          </cell>
          <cell r="BM271">
            <v>441</v>
          </cell>
          <cell r="BN271">
            <v>492</v>
          </cell>
          <cell r="BO271">
            <v>103</v>
          </cell>
          <cell r="BP271">
            <v>78</v>
          </cell>
          <cell r="BQ271">
            <v>77</v>
          </cell>
        </row>
        <row r="272">
          <cell r="A272">
            <v>494</v>
          </cell>
          <cell r="B272" t="str">
            <v>494 - Syracuse</v>
          </cell>
          <cell r="C272" t="str">
            <v>Hamilton</v>
          </cell>
          <cell r="D272">
            <v>40724626</v>
          </cell>
          <cell r="E272">
            <v>36289716</v>
          </cell>
          <cell r="F272">
            <v>38937384</v>
          </cell>
          <cell r="G272">
            <v>32045509</v>
          </cell>
          <cell r="H272">
            <v>529</v>
          </cell>
          <cell r="I272">
            <v>507.8</v>
          </cell>
          <cell r="J272">
            <v>992</v>
          </cell>
          <cell r="K272">
            <v>5791568</v>
          </cell>
          <cell r="L272">
            <v>545</v>
          </cell>
          <cell r="M272">
            <v>537</v>
          </cell>
          <cell r="N272">
            <v>514.79999999999995</v>
          </cell>
          <cell r="O272">
            <v>481</v>
          </cell>
          <cell r="P272">
            <v>341000</v>
          </cell>
          <cell r="Q272">
            <v>372110</v>
          </cell>
          <cell r="R272">
            <v>976868</v>
          </cell>
          <cell r="S272">
            <v>297844</v>
          </cell>
          <cell r="T272">
            <v>0</v>
          </cell>
          <cell r="U272">
            <v>0</v>
          </cell>
          <cell r="V272">
            <v>0.05</v>
          </cell>
          <cell r="W272">
            <v>0.52</v>
          </cell>
          <cell r="X272">
            <v>310</v>
          </cell>
          <cell r="Y272">
            <v>38</v>
          </cell>
          <cell r="Z272">
            <v>0.51</v>
          </cell>
          <cell r="AA272">
            <v>0</v>
          </cell>
          <cell r="AB272">
            <v>0.5151</v>
          </cell>
          <cell r="AC272">
            <v>506388</v>
          </cell>
          <cell r="AD272">
            <v>485131</v>
          </cell>
          <cell r="AE272">
            <v>485131</v>
          </cell>
          <cell r="AF272">
            <v>545</v>
          </cell>
          <cell r="AG272">
            <v>537</v>
          </cell>
          <cell r="AH272">
            <v>514.79999999999995</v>
          </cell>
          <cell r="AI272">
            <v>481</v>
          </cell>
          <cell r="AJ272">
            <v>0</v>
          </cell>
          <cell r="AM272">
            <v>0</v>
          </cell>
          <cell r="AN272">
            <v>0</v>
          </cell>
          <cell r="AO272">
            <v>473.5</v>
          </cell>
          <cell r="AQ272">
            <v>0</v>
          </cell>
          <cell r="AT272">
            <v>0</v>
          </cell>
          <cell r="AU272">
            <v>0</v>
          </cell>
          <cell r="AV272">
            <v>5341275</v>
          </cell>
          <cell r="AW272">
            <v>160936</v>
          </cell>
          <cell r="AX272">
            <v>168734</v>
          </cell>
          <cell r="AY272">
            <v>914065</v>
          </cell>
          <cell r="AZ272">
            <v>1</v>
          </cell>
          <cell r="BA272">
            <v>1</v>
          </cell>
          <cell r="BB272">
            <v>0</v>
          </cell>
          <cell r="BC272">
            <v>0</v>
          </cell>
          <cell r="BE272">
            <v>5417380</v>
          </cell>
          <cell r="BF272">
            <v>1203</v>
          </cell>
          <cell r="BG272">
            <v>1879</v>
          </cell>
          <cell r="BH272">
            <v>33</v>
          </cell>
          <cell r="BI272">
            <v>40238875</v>
          </cell>
          <cell r="BJ272">
            <v>38454377</v>
          </cell>
          <cell r="BL272">
            <v>303</v>
          </cell>
          <cell r="BM272">
            <v>294</v>
          </cell>
          <cell r="BN272">
            <v>326</v>
          </cell>
          <cell r="BO272">
            <v>60</v>
          </cell>
          <cell r="BP272">
            <v>66</v>
          </cell>
          <cell r="BQ272">
            <v>39</v>
          </cell>
        </row>
        <row r="273">
          <cell r="A273">
            <v>495</v>
          </cell>
          <cell r="B273" t="str">
            <v>495 - Ft Larned</v>
          </cell>
          <cell r="C273" t="str">
            <v>Pawnee</v>
          </cell>
          <cell r="D273">
            <v>64862864</v>
          </cell>
          <cell r="E273">
            <v>54104949</v>
          </cell>
          <cell r="F273">
            <v>65649175</v>
          </cell>
          <cell r="G273">
            <v>48909540</v>
          </cell>
          <cell r="H273">
            <v>791.3</v>
          </cell>
          <cell r="I273">
            <v>776</v>
          </cell>
          <cell r="J273">
            <v>518</v>
          </cell>
          <cell r="K273">
            <v>8308472</v>
          </cell>
          <cell r="L273">
            <v>811.5</v>
          </cell>
          <cell r="M273">
            <v>817.8</v>
          </cell>
          <cell r="N273">
            <v>809.5</v>
          </cell>
          <cell r="O273">
            <v>790</v>
          </cell>
          <cell r="P273">
            <v>1012566</v>
          </cell>
          <cell r="Q273">
            <v>1117506</v>
          </cell>
          <cell r="R273">
            <v>1415430</v>
          </cell>
          <cell r="S273">
            <v>1069591</v>
          </cell>
          <cell r="T273">
            <v>0</v>
          </cell>
          <cell r="U273">
            <v>0</v>
          </cell>
          <cell r="V273">
            <v>0.03</v>
          </cell>
          <cell r="W273">
            <v>0.5</v>
          </cell>
          <cell r="X273">
            <v>346</v>
          </cell>
          <cell r="Y273">
            <v>98</v>
          </cell>
          <cell r="Z273">
            <v>0.49</v>
          </cell>
          <cell r="AA273">
            <v>0</v>
          </cell>
          <cell r="AB273">
            <v>0.50600000000000001</v>
          </cell>
          <cell r="AC273">
            <v>1115414</v>
          </cell>
          <cell r="AD273">
            <v>1035426</v>
          </cell>
          <cell r="AE273">
            <v>1035426</v>
          </cell>
          <cell r="AF273">
            <v>811.5</v>
          </cell>
          <cell r="AG273">
            <v>817.8</v>
          </cell>
          <cell r="AH273">
            <v>809.5</v>
          </cell>
          <cell r="AI273">
            <v>790</v>
          </cell>
          <cell r="AJ273">
            <v>0</v>
          </cell>
          <cell r="AM273">
            <v>3</v>
          </cell>
          <cell r="AN273">
            <v>0</v>
          </cell>
          <cell r="AO273">
            <v>760</v>
          </cell>
          <cell r="AQ273">
            <v>0</v>
          </cell>
          <cell r="AT273">
            <v>0</v>
          </cell>
          <cell r="AU273">
            <v>0</v>
          </cell>
          <cell r="AV273">
            <v>7009553</v>
          </cell>
          <cell r="AW273">
            <v>226891</v>
          </cell>
          <cell r="AX273">
            <v>258872</v>
          </cell>
          <cell r="AY273">
            <v>1369818</v>
          </cell>
          <cell r="AZ273">
            <v>1</v>
          </cell>
          <cell r="BA273">
            <v>1</v>
          </cell>
          <cell r="BB273">
            <v>24241</v>
          </cell>
          <cell r="BC273">
            <v>24390</v>
          </cell>
          <cell r="BE273">
            <v>7186021</v>
          </cell>
          <cell r="BF273">
            <v>11849</v>
          </cell>
          <cell r="BG273">
            <v>4076</v>
          </cell>
          <cell r="BH273">
            <v>33</v>
          </cell>
          <cell r="BI273">
            <v>64862864</v>
          </cell>
          <cell r="BJ273">
            <v>65116200</v>
          </cell>
          <cell r="BL273">
            <v>312</v>
          </cell>
          <cell r="BM273">
            <v>406</v>
          </cell>
          <cell r="BN273">
            <v>395</v>
          </cell>
          <cell r="BO273">
            <v>92</v>
          </cell>
          <cell r="BP273">
            <v>79</v>
          </cell>
          <cell r="BQ273">
            <v>75</v>
          </cell>
        </row>
        <row r="274">
          <cell r="A274">
            <v>496</v>
          </cell>
          <cell r="B274" t="str">
            <v>496 - Pawnee Heights</v>
          </cell>
          <cell r="C274" t="str">
            <v>Pawnee</v>
          </cell>
          <cell r="D274">
            <v>20721719</v>
          </cell>
          <cell r="E274">
            <v>19424566</v>
          </cell>
          <cell r="F274">
            <v>19653961</v>
          </cell>
          <cell r="G274">
            <v>17732994</v>
          </cell>
          <cell r="H274">
            <v>124.5</v>
          </cell>
          <cell r="I274">
            <v>117</v>
          </cell>
          <cell r="J274">
            <v>283</v>
          </cell>
          <cell r="K274">
            <v>1747579</v>
          </cell>
          <cell r="L274">
            <v>137.5</v>
          </cell>
          <cell r="M274">
            <v>131.6</v>
          </cell>
          <cell r="N274">
            <v>123.7</v>
          </cell>
          <cell r="O274">
            <v>134</v>
          </cell>
          <cell r="P274">
            <v>151015</v>
          </cell>
          <cell r="Q274">
            <v>157706</v>
          </cell>
          <cell r="R274">
            <v>45639</v>
          </cell>
          <cell r="S274">
            <v>166489</v>
          </cell>
          <cell r="T274">
            <v>0</v>
          </cell>
          <cell r="U274">
            <v>0</v>
          </cell>
          <cell r="V274">
            <v>0</v>
          </cell>
          <cell r="W274">
            <v>0</v>
          </cell>
          <cell r="X274">
            <v>40</v>
          </cell>
          <cell r="Y274">
            <v>6</v>
          </cell>
          <cell r="Z274">
            <v>0</v>
          </cell>
          <cell r="AA274">
            <v>0</v>
          </cell>
          <cell r="AB274">
            <v>7.1400000000000005E-2</v>
          </cell>
          <cell r="AC274">
            <v>165244</v>
          </cell>
          <cell r="AD274">
            <v>136513</v>
          </cell>
          <cell r="AE274">
            <v>136513</v>
          </cell>
          <cell r="AF274">
            <v>136.5</v>
          </cell>
          <cell r="AG274">
            <v>129.5</v>
          </cell>
          <cell r="AH274">
            <v>119.5</v>
          </cell>
          <cell r="AI274">
            <v>122.5</v>
          </cell>
          <cell r="AJ274">
            <v>0</v>
          </cell>
          <cell r="AM274">
            <v>0</v>
          </cell>
          <cell r="AN274">
            <v>0</v>
          </cell>
          <cell r="AO274">
            <v>119</v>
          </cell>
          <cell r="AQ274">
            <v>0</v>
          </cell>
          <cell r="AT274">
            <v>0</v>
          </cell>
          <cell r="AU274">
            <v>0</v>
          </cell>
          <cell r="AV274">
            <v>1582610</v>
          </cell>
          <cell r="AW274">
            <v>0</v>
          </cell>
          <cell r="AX274">
            <v>0</v>
          </cell>
          <cell r="AY274">
            <v>70644</v>
          </cell>
          <cell r="AZ274">
            <v>1</v>
          </cell>
          <cell r="BA274">
            <v>1</v>
          </cell>
          <cell r="BB274">
            <v>0</v>
          </cell>
          <cell r="BC274">
            <v>0</v>
          </cell>
          <cell r="BE274">
            <v>1587938</v>
          </cell>
          <cell r="BF274">
            <v>115</v>
          </cell>
          <cell r="BG274">
            <v>242</v>
          </cell>
          <cell r="BH274">
            <v>33</v>
          </cell>
          <cell r="BI274">
            <v>20721719</v>
          </cell>
          <cell r="BJ274">
            <v>19485959</v>
          </cell>
          <cell r="BL274">
            <v>69</v>
          </cell>
          <cell r="BM274">
            <v>55</v>
          </cell>
          <cell r="BN274">
            <v>47</v>
          </cell>
          <cell r="BO274">
            <v>9</v>
          </cell>
          <cell r="BP274">
            <v>8</v>
          </cell>
          <cell r="BQ274">
            <v>8</v>
          </cell>
        </row>
        <row r="275">
          <cell r="A275">
            <v>497</v>
          </cell>
          <cell r="B275" t="str">
            <v>497 - Lawrence</v>
          </cell>
          <cell r="C275" t="str">
            <v>Douglas</v>
          </cell>
          <cell r="D275">
            <v>1658775828</v>
          </cell>
          <cell r="E275">
            <v>1527746964</v>
          </cell>
          <cell r="F275">
            <v>1767266322</v>
          </cell>
          <cell r="G275">
            <v>1533471034</v>
          </cell>
          <cell r="H275">
            <v>9955</v>
          </cell>
          <cell r="I275">
            <v>9803.5</v>
          </cell>
          <cell r="J275">
            <v>175.3</v>
          </cell>
          <cell r="K275">
            <v>89049973</v>
          </cell>
          <cell r="L275">
            <v>10889.5</v>
          </cell>
          <cell r="M275">
            <v>10654.8</v>
          </cell>
          <cell r="N275">
            <v>10370.700000000001</v>
          </cell>
          <cell r="O275">
            <v>10233.4</v>
          </cell>
          <cell r="P275">
            <v>12739363</v>
          </cell>
          <cell r="Q275">
            <v>15761506</v>
          </cell>
          <cell r="R275">
            <v>2823070</v>
          </cell>
          <cell r="S275">
            <v>10918476</v>
          </cell>
          <cell r="T275">
            <v>0</v>
          </cell>
          <cell r="U275">
            <v>0</v>
          </cell>
          <cell r="V275">
            <v>0</v>
          </cell>
          <cell r="W275">
            <v>0</v>
          </cell>
          <cell r="X275">
            <v>3382</v>
          </cell>
          <cell r="Y275">
            <v>676</v>
          </cell>
          <cell r="Z275">
            <v>0</v>
          </cell>
          <cell r="AA275">
            <v>0</v>
          </cell>
          <cell r="AB275">
            <v>2.4E-2</v>
          </cell>
          <cell r="AC275">
            <v>9866764</v>
          </cell>
          <cell r="AD275">
            <v>9549621</v>
          </cell>
          <cell r="AE275">
            <v>9549621</v>
          </cell>
          <cell r="AF275">
            <v>10008.1</v>
          </cell>
          <cell r="AG275">
            <v>9980.5</v>
          </cell>
          <cell r="AH275">
            <v>9832.5</v>
          </cell>
          <cell r="AI275">
            <v>9713.6</v>
          </cell>
          <cell r="AJ275">
            <v>2.7E-2</v>
          </cell>
          <cell r="AM275">
            <v>198</v>
          </cell>
          <cell r="AN275">
            <v>0</v>
          </cell>
          <cell r="AO275">
            <v>9670.1</v>
          </cell>
          <cell r="AQ275">
            <v>0</v>
          </cell>
          <cell r="AT275">
            <v>0</v>
          </cell>
          <cell r="AU275">
            <v>0</v>
          </cell>
          <cell r="AV275">
            <v>70701936</v>
          </cell>
          <cell r="AW275">
            <v>0</v>
          </cell>
          <cell r="AX275">
            <v>0</v>
          </cell>
          <cell r="AY275">
            <v>3987017</v>
          </cell>
          <cell r="AZ275">
            <v>1</v>
          </cell>
          <cell r="BA275">
            <v>1</v>
          </cell>
          <cell r="BB275">
            <v>131208</v>
          </cell>
          <cell r="BC275">
            <v>134158</v>
          </cell>
          <cell r="BE275">
            <v>73288467</v>
          </cell>
          <cell r="BF275">
            <v>41360</v>
          </cell>
          <cell r="BG275">
            <v>41953</v>
          </cell>
          <cell r="BH275">
            <v>33</v>
          </cell>
          <cell r="BI275">
            <v>1650506717</v>
          </cell>
          <cell r="BJ275">
            <v>1761301010</v>
          </cell>
          <cell r="BL275">
            <v>2365</v>
          </cell>
          <cell r="BM275">
            <v>3603</v>
          </cell>
          <cell r="BN275">
            <v>3505</v>
          </cell>
          <cell r="BO275">
            <v>905</v>
          </cell>
          <cell r="BP275">
            <v>690</v>
          </cell>
          <cell r="BQ275">
            <v>662</v>
          </cell>
        </row>
        <row r="276">
          <cell r="A276">
            <v>498</v>
          </cell>
          <cell r="B276" t="str">
            <v>498 - Valley Heights</v>
          </cell>
          <cell r="C276" t="str">
            <v>Marshall</v>
          </cell>
          <cell r="D276">
            <v>34104849</v>
          </cell>
          <cell r="E276">
            <v>29955093</v>
          </cell>
          <cell r="F276">
            <v>33527738</v>
          </cell>
          <cell r="G276">
            <v>27042885</v>
          </cell>
          <cell r="H276">
            <v>386.5</v>
          </cell>
          <cell r="I276">
            <v>373.5</v>
          </cell>
          <cell r="J276">
            <v>205</v>
          </cell>
          <cell r="K276">
            <v>4129766</v>
          </cell>
          <cell r="L276">
            <v>401.4</v>
          </cell>
          <cell r="M276">
            <v>394</v>
          </cell>
          <cell r="N276">
            <v>379.5</v>
          </cell>
          <cell r="O276">
            <v>371.4</v>
          </cell>
          <cell r="P276">
            <v>408882</v>
          </cell>
          <cell r="Q276">
            <v>369537</v>
          </cell>
          <cell r="R276">
            <v>655814</v>
          </cell>
          <cell r="S276">
            <v>509154</v>
          </cell>
          <cell r="T276">
            <v>10453</v>
          </cell>
          <cell r="U276">
            <v>6123</v>
          </cell>
          <cell r="V276">
            <v>0</v>
          </cell>
          <cell r="W276">
            <v>0.42</v>
          </cell>
          <cell r="X276">
            <v>141</v>
          </cell>
          <cell r="Y276">
            <v>51</v>
          </cell>
          <cell r="Z276">
            <v>0.41</v>
          </cell>
          <cell r="AA276">
            <v>0</v>
          </cell>
          <cell r="AB276">
            <v>0.45169999999999999</v>
          </cell>
          <cell r="AC276">
            <v>409377</v>
          </cell>
          <cell r="AD276">
            <v>385732</v>
          </cell>
          <cell r="AE276">
            <v>385732</v>
          </cell>
          <cell r="AF276">
            <v>401.4</v>
          </cell>
          <cell r="AG276">
            <v>394</v>
          </cell>
          <cell r="AH276">
            <v>379.5</v>
          </cell>
          <cell r="AI276">
            <v>371.4</v>
          </cell>
          <cell r="AJ276">
            <v>0</v>
          </cell>
          <cell r="AM276">
            <v>4</v>
          </cell>
          <cell r="AN276">
            <v>0</v>
          </cell>
          <cell r="AO276">
            <v>366.9</v>
          </cell>
          <cell r="AQ276">
            <v>0</v>
          </cell>
          <cell r="AT276">
            <v>0</v>
          </cell>
          <cell r="AU276">
            <v>0</v>
          </cell>
          <cell r="AV276">
            <v>3755646</v>
          </cell>
          <cell r="AW276">
            <v>114462</v>
          </cell>
          <cell r="AX276">
            <v>114658</v>
          </cell>
          <cell r="AY276">
            <v>656065</v>
          </cell>
          <cell r="AZ276">
            <v>1</v>
          </cell>
          <cell r="BA276">
            <v>1</v>
          </cell>
          <cell r="BB276">
            <v>65767</v>
          </cell>
          <cell r="BC276">
            <v>67250</v>
          </cell>
          <cell r="BE276">
            <v>3760229</v>
          </cell>
          <cell r="BF276">
            <v>5927</v>
          </cell>
          <cell r="BG276">
            <v>3047</v>
          </cell>
          <cell r="BH276">
            <v>33</v>
          </cell>
          <cell r="BI276">
            <v>34104849</v>
          </cell>
          <cell r="BJ276">
            <v>33397587</v>
          </cell>
          <cell r="BL276">
            <v>108</v>
          </cell>
          <cell r="BM276">
            <v>164</v>
          </cell>
          <cell r="BN276">
            <v>156</v>
          </cell>
          <cell r="BO276">
            <v>52</v>
          </cell>
          <cell r="BP276">
            <v>38</v>
          </cell>
          <cell r="BQ276">
            <v>38</v>
          </cell>
        </row>
        <row r="277">
          <cell r="A277">
            <v>499</v>
          </cell>
          <cell r="B277" t="str">
            <v>499 - Galena</v>
          </cell>
          <cell r="C277" t="str">
            <v>Cherokee</v>
          </cell>
          <cell r="D277">
            <v>24091450</v>
          </cell>
          <cell r="E277">
            <v>18195410</v>
          </cell>
          <cell r="F277">
            <v>26090726</v>
          </cell>
          <cell r="G277">
            <v>17259198</v>
          </cell>
          <cell r="H277">
            <v>724</v>
          </cell>
          <cell r="I277">
            <v>695.6</v>
          </cell>
          <cell r="J277">
            <v>13.5</v>
          </cell>
          <cell r="K277">
            <v>7901535</v>
          </cell>
          <cell r="L277">
            <v>781.9</v>
          </cell>
          <cell r="M277">
            <v>753.5</v>
          </cell>
          <cell r="N277">
            <v>719.9</v>
          </cell>
          <cell r="O277">
            <v>782.1</v>
          </cell>
          <cell r="P277">
            <v>762372</v>
          </cell>
          <cell r="Q277">
            <v>811251</v>
          </cell>
          <cell r="R277">
            <v>2083278</v>
          </cell>
          <cell r="S277">
            <v>577658</v>
          </cell>
          <cell r="T277">
            <v>0</v>
          </cell>
          <cell r="U277">
            <v>1628</v>
          </cell>
          <cell r="V277">
            <v>0.51</v>
          </cell>
          <cell r="W277">
            <v>0.99</v>
          </cell>
          <cell r="X277">
            <v>455</v>
          </cell>
          <cell r="Y277">
            <v>44</v>
          </cell>
          <cell r="Z277">
            <v>0.98</v>
          </cell>
          <cell r="AA277">
            <v>0.43</v>
          </cell>
          <cell r="AB277">
            <v>0.80449999999999999</v>
          </cell>
          <cell r="AC277">
            <v>820122</v>
          </cell>
          <cell r="AD277">
            <v>728571</v>
          </cell>
          <cell r="AE277">
            <v>728571</v>
          </cell>
          <cell r="AF277">
            <v>768.1</v>
          </cell>
          <cell r="AG277">
            <v>739.6</v>
          </cell>
          <cell r="AH277">
            <v>708.2</v>
          </cell>
          <cell r="AI277">
            <v>765.7</v>
          </cell>
          <cell r="AJ277">
            <v>0</v>
          </cell>
          <cell r="AM277">
            <v>1</v>
          </cell>
          <cell r="AN277">
            <v>0</v>
          </cell>
          <cell r="AO277">
            <v>753.7</v>
          </cell>
          <cell r="AQ277">
            <v>0</v>
          </cell>
          <cell r="AT277">
            <v>0</v>
          </cell>
          <cell r="AU277">
            <v>0</v>
          </cell>
          <cell r="AV277">
            <v>6669701</v>
          </cell>
          <cell r="AW277">
            <v>170953</v>
          </cell>
          <cell r="AX277">
            <v>205634</v>
          </cell>
          <cell r="AY277">
            <v>1758887</v>
          </cell>
          <cell r="AZ277">
            <v>1</v>
          </cell>
          <cell r="BA277">
            <v>1</v>
          </cell>
          <cell r="BB277">
            <v>0</v>
          </cell>
          <cell r="BC277">
            <v>0</v>
          </cell>
          <cell r="BE277">
            <v>7090284</v>
          </cell>
          <cell r="BF277">
            <v>0</v>
          </cell>
          <cell r="BG277">
            <v>0</v>
          </cell>
          <cell r="BH277">
            <v>33</v>
          </cell>
          <cell r="BI277">
            <v>23906611</v>
          </cell>
          <cell r="BJ277">
            <v>25720325</v>
          </cell>
          <cell r="BL277">
            <v>375</v>
          </cell>
          <cell r="BM277">
            <v>449</v>
          </cell>
          <cell r="BN277">
            <v>446</v>
          </cell>
          <cell r="BO277">
            <v>82</v>
          </cell>
          <cell r="BP277">
            <v>60</v>
          </cell>
          <cell r="BQ277">
            <v>64</v>
          </cell>
        </row>
        <row r="278">
          <cell r="A278">
            <v>500</v>
          </cell>
          <cell r="B278" t="str">
            <v>500 - Kansas City</v>
          </cell>
          <cell r="C278" t="str">
            <v>Wyandotte</v>
          </cell>
          <cell r="D278">
            <v>1169910255</v>
          </cell>
          <cell r="E278">
            <v>994886978</v>
          </cell>
          <cell r="F278">
            <v>1307668973</v>
          </cell>
          <cell r="G278">
            <v>1001039478</v>
          </cell>
          <cell r="H278">
            <v>19733.599999999999</v>
          </cell>
          <cell r="I278">
            <v>19438.8</v>
          </cell>
          <cell r="J278">
            <v>59</v>
          </cell>
          <cell r="K278">
            <v>193537908</v>
          </cell>
          <cell r="L278">
            <v>20429.8</v>
          </cell>
          <cell r="M278">
            <v>20518.2</v>
          </cell>
          <cell r="N278">
            <v>20231.7</v>
          </cell>
          <cell r="O278">
            <v>20557.400000000001</v>
          </cell>
          <cell r="P278">
            <v>11180153</v>
          </cell>
          <cell r="Q278">
            <v>15863773</v>
          </cell>
          <cell r="R278">
            <v>44124066</v>
          </cell>
          <cell r="S278">
            <v>14691745</v>
          </cell>
          <cell r="T278">
            <v>26973</v>
          </cell>
          <cell r="U278">
            <v>76233</v>
          </cell>
          <cell r="V278">
            <v>0.23</v>
          </cell>
          <cell r="W278">
            <v>0.7</v>
          </cell>
          <cell r="X278">
            <v>15585</v>
          </cell>
          <cell r="Y278">
            <v>1726</v>
          </cell>
          <cell r="Z278">
            <v>0.7</v>
          </cell>
          <cell r="AA278">
            <v>0.15</v>
          </cell>
          <cell r="AB278">
            <v>0.6583</v>
          </cell>
          <cell r="AC278">
            <v>29547419</v>
          </cell>
          <cell r="AD278">
            <v>26544714</v>
          </cell>
          <cell r="AE278">
            <v>26544714</v>
          </cell>
          <cell r="AF278">
            <v>20178.7</v>
          </cell>
          <cell r="AG278">
            <v>20215.900000000001</v>
          </cell>
          <cell r="AH278">
            <v>19933.3</v>
          </cell>
          <cell r="AI278">
            <v>20317.099999999999</v>
          </cell>
          <cell r="AJ278">
            <v>0</v>
          </cell>
          <cell r="AM278">
            <v>0</v>
          </cell>
          <cell r="AN278">
            <v>0</v>
          </cell>
          <cell r="AO278">
            <v>19808.099999999999</v>
          </cell>
          <cell r="AQ278">
            <v>0</v>
          </cell>
          <cell r="AT278">
            <v>0</v>
          </cell>
          <cell r="AU278">
            <v>0</v>
          </cell>
          <cell r="AV278">
            <v>166305602</v>
          </cell>
          <cell r="AW278">
            <v>7022635</v>
          </cell>
          <cell r="AX278">
            <v>7808087</v>
          </cell>
          <cell r="AY278">
            <v>42370564</v>
          </cell>
          <cell r="AZ278">
            <v>1</v>
          </cell>
          <cell r="BA278">
            <v>1</v>
          </cell>
          <cell r="BB278">
            <v>0</v>
          </cell>
          <cell r="BC278">
            <v>660090</v>
          </cell>
          <cell r="BE278">
            <v>177674135</v>
          </cell>
          <cell r="BF278">
            <v>19127</v>
          </cell>
          <cell r="BG278">
            <v>23336</v>
          </cell>
          <cell r="BH278">
            <v>33</v>
          </cell>
          <cell r="BI278">
            <v>1126266909</v>
          </cell>
          <cell r="BJ278">
            <v>1267546648</v>
          </cell>
          <cell r="BL278">
            <v>14781</v>
          </cell>
          <cell r="BM278">
            <v>15475</v>
          </cell>
          <cell r="BN278">
            <v>15095</v>
          </cell>
          <cell r="BO278">
            <v>2301</v>
          </cell>
          <cell r="BP278">
            <v>2004</v>
          </cell>
          <cell r="BQ278">
            <v>1606</v>
          </cell>
        </row>
        <row r="279">
          <cell r="A279">
            <v>501</v>
          </cell>
          <cell r="B279" t="str">
            <v>501 - Topeka Public Schools</v>
          </cell>
          <cell r="C279" t="str">
            <v>Shawnee</v>
          </cell>
          <cell r="D279">
            <v>833273512</v>
          </cell>
          <cell r="E279">
            <v>678741818</v>
          </cell>
          <cell r="F279">
            <v>878436676</v>
          </cell>
          <cell r="G279">
            <v>620525116</v>
          </cell>
          <cell r="H279">
            <v>11840.6</v>
          </cell>
          <cell r="I279">
            <v>11531.8</v>
          </cell>
          <cell r="J279">
            <v>35</v>
          </cell>
          <cell r="K279">
            <v>117407239</v>
          </cell>
          <cell r="L279">
            <v>12296.6</v>
          </cell>
          <cell r="M279">
            <v>12404.4</v>
          </cell>
          <cell r="N279">
            <v>12124.3</v>
          </cell>
          <cell r="O279">
            <v>12206.3</v>
          </cell>
          <cell r="P279">
            <v>16858364</v>
          </cell>
          <cell r="Q279">
            <v>20693862</v>
          </cell>
          <cell r="R279">
            <v>21268060</v>
          </cell>
          <cell r="S279">
            <v>14947071</v>
          </cell>
          <cell r="T279">
            <v>31997</v>
          </cell>
          <cell r="U279">
            <v>10639</v>
          </cell>
          <cell r="V279">
            <v>0.13</v>
          </cell>
          <cell r="W279">
            <v>0.6</v>
          </cell>
          <cell r="X279">
            <v>8012</v>
          </cell>
          <cell r="Y279">
            <v>1173</v>
          </cell>
          <cell r="Z279">
            <v>0.61</v>
          </cell>
          <cell r="AA279">
            <v>0.06</v>
          </cell>
          <cell r="AB279">
            <v>0.59060000000000001</v>
          </cell>
          <cell r="AC279">
            <v>17832588</v>
          </cell>
          <cell r="AD279">
            <v>15048828</v>
          </cell>
          <cell r="AE279">
            <v>15048828</v>
          </cell>
          <cell r="AF279">
            <v>11991</v>
          </cell>
          <cell r="AG279">
            <v>12072.6</v>
          </cell>
          <cell r="AH279">
            <v>11762.3</v>
          </cell>
          <cell r="AI279">
            <v>11837.1</v>
          </cell>
          <cell r="AJ279">
            <v>0</v>
          </cell>
          <cell r="AM279">
            <v>0</v>
          </cell>
          <cell r="AN279">
            <v>0</v>
          </cell>
          <cell r="AO279">
            <v>11603.1</v>
          </cell>
          <cell r="AQ279">
            <v>0</v>
          </cell>
          <cell r="AT279">
            <v>0</v>
          </cell>
          <cell r="AU279">
            <v>0</v>
          </cell>
          <cell r="AV279">
            <v>93258004</v>
          </cell>
          <cell r="AW279">
            <v>3588646</v>
          </cell>
          <cell r="AX279">
            <v>3758345</v>
          </cell>
          <cell r="AY279">
            <v>21018000</v>
          </cell>
          <cell r="AZ279">
            <v>1</v>
          </cell>
          <cell r="BA279">
            <v>1</v>
          </cell>
          <cell r="BB279">
            <v>553408</v>
          </cell>
          <cell r="BC279">
            <v>553410</v>
          </cell>
          <cell r="BE279">
            <v>96713377</v>
          </cell>
          <cell r="BF279">
            <v>37785</v>
          </cell>
          <cell r="BG279">
            <v>38284</v>
          </cell>
          <cell r="BH279">
            <v>33</v>
          </cell>
          <cell r="BI279">
            <v>830828126</v>
          </cell>
          <cell r="BJ279">
            <v>877134293</v>
          </cell>
          <cell r="BL279">
            <v>6779</v>
          </cell>
          <cell r="BM279">
            <v>8658</v>
          </cell>
          <cell r="BN279">
            <v>8360</v>
          </cell>
          <cell r="BO279">
            <v>1653</v>
          </cell>
          <cell r="BP279">
            <v>1086</v>
          </cell>
          <cell r="BQ279">
            <v>1130</v>
          </cell>
        </row>
        <row r="280">
          <cell r="A280">
            <v>502</v>
          </cell>
          <cell r="B280" t="str">
            <v>502 - Lewis</v>
          </cell>
          <cell r="C280" t="str">
            <v>Edwards</v>
          </cell>
          <cell r="D280">
            <v>24048090</v>
          </cell>
          <cell r="E280">
            <v>22876251</v>
          </cell>
          <cell r="F280">
            <v>22335704</v>
          </cell>
          <cell r="G280">
            <v>20734013</v>
          </cell>
          <cell r="H280">
            <v>103</v>
          </cell>
          <cell r="I280">
            <v>110</v>
          </cell>
          <cell r="J280">
            <v>223.8</v>
          </cell>
          <cell r="K280">
            <v>1790336</v>
          </cell>
          <cell r="L280">
            <v>122</v>
          </cell>
          <cell r="M280">
            <v>107</v>
          </cell>
          <cell r="N280">
            <v>114</v>
          </cell>
          <cell r="O280">
            <v>121.5</v>
          </cell>
          <cell r="P280">
            <v>143230</v>
          </cell>
          <cell r="Q280">
            <v>157200</v>
          </cell>
          <cell r="R280">
            <v>0</v>
          </cell>
          <cell r="S280">
            <v>123427</v>
          </cell>
          <cell r="T280">
            <v>0</v>
          </cell>
          <cell r="U280">
            <v>0</v>
          </cell>
          <cell r="V280">
            <v>0</v>
          </cell>
          <cell r="W280">
            <v>0</v>
          </cell>
          <cell r="X280">
            <v>71</v>
          </cell>
          <cell r="Y280">
            <v>17</v>
          </cell>
          <cell r="Z280">
            <v>0</v>
          </cell>
          <cell r="AA280">
            <v>0</v>
          </cell>
          <cell r="AB280">
            <v>0</v>
          </cell>
          <cell r="AC280">
            <v>115737</v>
          </cell>
          <cell r="AD280">
            <v>106724</v>
          </cell>
          <cell r="AE280">
            <v>106724</v>
          </cell>
          <cell r="AF280">
            <v>122</v>
          </cell>
          <cell r="AG280">
            <v>107</v>
          </cell>
          <cell r="AH280">
            <v>114</v>
          </cell>
          <cell r="AI280">
            <v>121.5</v>
          </cell>
          <cell r="AJ280">
            <v>0</v>
          </cell>
          <cell r="AM280">
            <v>0</v>
          </cell>
          <cell r="AN280">
            <v>0</v>
          </cell>
          <cell r="AO280">
            <v>117</v>
          </cell>
          <cell r="AQ280">
            <v>0</v>
          </cell>
          <cell r="AT280">
            <v>0</v>
          </cell>
          <cell r="AU280">
            <v>0</v>
          </cell>
          <cell r="AV280">
            <v>1544425</v>
          </cell>
          <cell r="AW280">
            <v>0</v>
          </cell>
          <cell r="AX280">
            <v>0</v>
          </cell>
          <cell r="AY280">
            <v>0</v>
          </cell>
          <cell r="AZ280">
            <v>1</v>
          </cell>
          <cell r="BA280">
            <v>1</v>
          </cell>
          <cell r="BB280">
            <v>0</v>
          </cell>
          <cell r="BC280">
            <v>0</v>
          </cell>
          <cell r="BE280">
            <v>1630353</v>
          </cell>
          <cell r="BF280">
            <v>1118</v>
          </cell>
          <cell r="BG280">
            <v>578</v>
          </cell>
          <cell r="BH280">
            <v>33</v>
          </cell>
          <cell r="BI280">
            <v>24048090</v>
          </cell>
          <cell r="BJ280">
            <v>22335704</v>
          </cell>
          <cell r="BL280">
            <v>49</v>
          </cell>
          <cell r="BM280">
            <v>67</v>
          </cell>
          <cell r="BN280">
            <v>65</v>
          </cell>
          <cell r="BO280">
            <v>11</v>
          </cell>
          <cell r="BP280">
            <v>7</v>
          </cell>
          <cell r="BQ280">
            <v>16</v>
          </cell>
        </row>
        <row r="281">
          <cell r="A281">
            <v>503</v>
          </cell>
          <cell r="B281" t="str">
            <v>503 - Parsons</v>
          </cell>
          <cell r="C281" t="str">
            <v>Labette</v>
          </cell>
          <cell r="D281">
            <v>60838453</v>
          </cell>
          <cell r="E281">
            <v>45654037</v>
          </cell>
          <cell r="F281">
            <v>63936812</v>
          </cell>
          <cell r="G281">
            <v>42854560</v>
          </cell>
          <cell r="H281">
            <v>1248.5999999999999</v>
          </cell>
          <cell r="I281">
            <v>1235.9000000000001</v>
          </cell>
          <cell r="J281">
            <v>51</v>
          </cell>
          <cell r="K281">
            <v>12201320</v>
          </cell>
          <cell r="L281">
            <v>1250</v>
          </cell>
          <cell r="M281">
            <v>1282.2</v>
          </cell>
          <cell r="N281">
            <v>1267.7</v>
          </cell>
          <cell r="O281">
            <v>1232.5999999999999</v>
          </cell>
          <cell r="P281">
            <v>1342285</v>
          </cell>
          <cell r="Q281">
            <v>1434749</v>
          </cell>
          <cell r="R281">
            <v>2845747</v>
          </cell>
          <cell r="S281">
            <v>1277708</v>
          </cell>
          <cell r="T281">
            <v>0</v>
          </cell>
          <cell r="U281">
            <v>0</v>
          </cell>
          <cell r="V281">
            <v>0.34</v>
          </cell>
          <cell r="W281">
            <v>0.8</v>
          </cell>
          <cell r="X281">
            <v>800</v>
          </cell>
          <cell r="Y281">
            <v>106</v>
          </cell>
          <cell r="Z281">
            <v>0.8</v>
          </cell>
          <cell r="AA281">
            <v>0.25</v>
          </cell>
          <cell r="AB281">
            <v>0.69789999999999996</v>
          </cell>
          <cell r="AC281">
            <v>1304645</v>
          </cell>
          <cell r="AD281">
            <v>1241413</v>
          </cell>
          <cell r="AE281">
            <v>1241413</v>
          </cell>
          <cell r="AF281">
            <v>1243</v>
          </cell>
          <cell r="AG281">
            <v>1276.5999999999999</v>
          </cell>
          <cell r="AH281">
            <v>1262.9000000000001</v>
          </cell>
          <cell r="AI281">
            <v>1224.2</v>
          </cell>
          <cell r="AJ281">
            <v>0</v>
          </cell>
          <cell r="AM281">
            <v>0</v>
          </cell>
          <cell r="AN281">
            <v>0</v>
          </cell>
          <cell r="AO281">
            <v>1192.2</v>
          </cell>
          <cell r="AQ281">
            <v>0</v>
          </cell>
          <cell r="AT281">
            <v>0</v>
          </cell>
          <cell r="AU281">
            <v>0</v>
          </cell>
          <cell r="AV281">
            <v>10472758</v>
          </cell>
          <cell r="AW281">
            <v>379984</v>
          </cell>
          <cell r="AX281">
            <v>422148</v>
          </cell>
          <cell r="AY281">
            <v>2722546</v>
          </cell>
          <cell r="AZ281">
            <v>1</v>
          </cell>
          <cell r="BA281">
            <v>1</v>
          </cell>
          <cell r="BB281">
            <v>0</v>
          </cell>
          <cell r="BC281">
            <v>0</v>
          </cell>
          <cell r="BE281">
            <v>10766552</v>
          </cell>
          <cell r="BF281">
            <v>3864</v>
          </cell>
          <cell r="BG281">
            <v>4304</v>
          </cell>
          <cell r="BH281">
            <v>33</v>
          </cell>
          <cell r="BI281">
            <v>62572402</v>
          </cell>
          <cell r="BJ281">
            <v>64629232</v>
          </cell>
          <cell r="BL281">
            <v>735</v>
          </cell>
          <cell r="BM281">
            <v>920</v>
          </cell>
          <cell r="BN281">
            <v>896</v>
          </cell>
          <cell r="BO281">
            <v>160</v>
          </cell>
          <cell r="BP281">
            <v>113</v>
          </cell>
          <cell r="BQ281">
            <v>118</v>
          </cell>
        </row>
        <row r="282">
          <cell r="A282">
            <v>504</v>
          </cell>
          <cell r="B282" t="str">
            <v>504 - Oswego</v>
          </cell>
          <cell r="C282" t="str">
            <v>Labette</v>
          </cell>
          <cell r="D282">
            <v>15335302</v>
          </cell>
          <cell r="E282">
            <v>11707534</v>
          </cell>
          <cell r="F282">
            <v>16081247</v>
          </cell>
          <cell r="G282">
            <v>10820524</v>
          </cell>
          <cell r="H282">
            <v>479.5</v>
          </cell>
          <cell r="I282">
            <v>475.5</v>
          </cell>
          <cell r="J282">
            <v>45</v>
          </cell>
          <cell r="K282">
            <v>5068227</v>
          </cell>
          <cell r="L282">
            <v>422</v>
          </cell>
          <cell r="M282">
            <v>485.5</v>
          </cell>
          <cell r="N282">
            <v>482</v>
          </cell>
          <cell r="O282">
            <v>466.5</v>
          </cell>
          <cell r="P282">
            <v>562226</v>
          </cell>
          <cell r="Q282">
            <v>602691</v>
          </cell>
          <cell r="R282">
            <v>1349614</v>
          </cell>
          <cell r="S282">
            <v>421887</v>
          </cell>
          <cell r="T282">
            <v>0</v>
          </cell>
          <cell r="U282">
            <v>0</v>
          </cell>
          <cell r="V282">
            <v>0.51</v>
          </cell>
          <cell r="W282">
            <v>0.98</v>
          </cell>
          <cell r="X282">
            <v>224</v>
          </cell>
          <cell r="Y282">
            <v>72</v>
          </cell>
          <cell r="Z282">
            <v>0.97</v>
          </cell>
          <cell r="AA282">
            <v>0.42</v>
          </cell>
          <cell r="AB282">
            <v>0.80169999999999997</v>
          </cell>
          <cell r="AC282">
            <v>516390</v>
          </cell>
          <cell r="AD282">
            <v>488260</v>
          </cell>
          <cell r="AE282">
            <v>488260</v>
          </cell>
          <cell r="AF282">
            <v>422</v>
          </cell>
          <cell r="AG282">
            <v>485.5</v>
          </cell>
          <cell r="AH282">
            <v>482</v>
          </cell>
          <cell r="AI282">
            <v>466.5</v>
          </cell>
          <cell r="AJ282">
            <v>0</v>
          </cell>
          <cell r="AM282">
            <v>3</v>
          </cell>
          <cell r="AN282">
            <v>0</v>
          </cell>
          <cell r="AO282">
            <v>457</v>
          </cell>
          <cell r="AQ282">
            <v>0</v>
          </cell>
          <cell r="AT282">
            <v>0</v>
          </cell>
          <cell r="AU282">
            <v>0</v>
          </cell>
          <cell r="AV282">
            <v>4311060</v>
          </cell>
          <cell r="AW282">
            <v>114869</v>
          </cell>
          <cell r="AX282">
            <v>126647</v>
          </cell>
          <cell r="AY282">
            <v>1279581</v>
          </cell>
          <cell r="AZ282">
            <v>1</v>
          </cell>
          <cell r="BA282">
            <v>1</v>
          </cell>
          <cell r="BB282">
            <v>0</v>
          </cell>
          <cell r="BC282">
            <v>0</v>
          </cell>
          <cell r="BE282">
            <v>4465536</v>
          </cell>
          <cell r="BF282">
            <v>830</v>
          </cell>
          <cell r="BG282">
            <v>1247</v>
          </cell>
          <cell r="BH282">
            <v>33</v>
          </cell>
          <cell r="BI282">
            <v>15148501</v>
          </cell>
          <cell r="BJ282">
            <v>15858565</v>
          </cell>
          <cell r="BL282">
            <v>162</v>
          </cell>
          <cell r="BM282">
            <v>239</v>
          </cell>
          <cell r="BN282">
            <v>247</v>
          </cell>
          <cell r="BO282">
            <v>63</v>
          </cell>
          <cell r="BP282">
            <v>66</v>
          </cell>
          <cell r="BQ282">
            <v>60</v>
          </cell>
        </row>
        <row r="283">
          <cell r="A283">
            <v>505</v>
          </cell>
          <cell r="B283" t="str">
            <v>505 - Chetopa-St. Paul</v>
          </cell>
          <cell r="C283" t="str">
            <v>Labette</v>
          </cell>
          <cell r="D283">
            <v>19721347</v>
          </cell>
          <cell r="E283">
            <v>15305401</v>
          </cell>
          <cell r="F283">
            <v>20674448</v>
          </cell>
          <cell r="G283">
            <v>14294894</v>
          </cell>
          <cell r="H283">
            <v>362.5</v>
          </cell>
          <cell r="I283">
            <v>372.5</v>
          </cell>
          <cell r="J283">
            <v>126</v>
          </cell>
          <cell r="K283">
            <v>4071146</v>
          </cell>
          <cell r="L283">
            <v>361.5</v>
          </cell>
          <cell r="M283">
            <v>365.5</v>
          </cell>
          <cell r="N283">
            <v>378.5</v>
          </cell>
          <cell r="O283">
            <v>374.3</v>
          </cell>
          <cell r="P283">
            <v>437282</v>
          </cell>
          <cell r="Q283">
            <v>476991</v>
          </cell>
          <cell r="R283">
            <v>922956</v>
          </cell>
          <cell r="S283">
            <v>537677</v>
          </cell>
          <cell r="T283">
            <v>11651</v>
          </cell>
          <cell r="U283">
            <v>11393</v>
          </cell>
          <cell r="V283">
            <v>0.3</v>
          </cell>
          <cell r="W283">
            <v>0.77</v>
          </cell>
          <cell r="X283">
            <v>172</v>
          </cell>
          <cell r="Y283">
            <v>57</v>
          </cell>
          <cell r="Z283">
            <v>0.76</v>
          </cell>
          <cell r="AA283">
            <v>0.21</v>
          </cell>
          <cell r="AB283">
            <v>0.66920000000000002</v>
          </cell>
          <cell r="AC283">
            <v>412981</v>
          </cell>
          <cell r="AD283">
            <v>375575</v>
          </cell>
          <cell r="AE283">
            <v>375575</v>
          </cell>
          <cell r="AF283">
            <v>360.5</v>
          </cell>
          <cell r="AG283">
            <v>365.5</v>
          </cell>
          <cell r="AH283">
            <v>378.5</v>
          </cell>
          <cell r="AI283">
            <v>374.3</v>
          </cell>
          <cell r="AJ283">
            <v>0</v>
          </cell>
          <cell r="AM283">
            <v>0</v>
          </cell>
          <cell r="AN283">
            <v>0</v>
          </cell>
          <cell r="AO283">
            <v>369</v>
          </cell>
          <cell r="AQ283">
            <v>0</v>
          </cell>
          <cell r="AT283">
            <v>0</v>
          </cell>
          <cell r="AU283">
            <v>0</v>
          </cell>
          <cell r="AV283">
            <v>3392456</v>
          </cell>
          <cell r="AW283">
            <v>116603</v>
          </cell>
          <cell r="AX283">
            <v>133872</v>
          </cell>
          <cell r="AY283">
            <v>865935</v>
          </cell>
          <cell r="AZ283">
            <v>1</v>
          </cell>
          <cell r="BA283">
            <v>1</v>
          </cell>
          <cell r="BB283">
            <v>0</v>
          </cell>
          <cell r="BC283">
            <v>0</v>
          </cell>
          <cell r="BE283">
            <v>3594155</v>
          </cell>
          <cell r="BF283">
            <v>1301</v>
          </cell>
          <cell r="BG283">
            <v>3380</v>
          </cell>
          <cell r="BH283">
            <v>33</v>
          </cell>
          <cell r="BI283">
            <v>19716118</v>
          </cell>
          <cell r="BJ283">
            <v>20672108</v>
          </cell>
          <cell r="BL283">
            <v>158</v>
          </cell>
          <cell r="BM283">
            <v>172</v>
          </cell>
          <cell r="BN283">
            <v>184</v>
          </cell>
          <cell r="BO283">
            <v>61</v>
          </cell>
          <cell r="BP283">
            <v>64</v>
          </cell>
          <cell r="BQ283">
            <v>53</v>
          </cell>
        </row>
        <row r="284">
          <cell r="A284">
            <v>506</v>
          </cell>
          <cell r="B284" t="str">
            <v>506 - Labette County</v>
          </cell>
          <cell r="C284" t="str">
            <v>Labette</v>
          </cell>
          <cell r="D284">
            <v>66993936</v>
          </cell>
          <cell r="E284">
            <v>53487516</v>
          </cell>
          <cell r="F284">
            <v>67205234</v>
          </cell>
          <cell r="G284">
            <v>45952889</v>
          </cell>
          <cell r="H284">
            <v>1443</v>
          </cell>
          <cell r="I284">
            <v>1396.6</v>
          </cell>
          <cell r="J284">
            <v>500</v>
          </cell>
          <cell r="K284">
            <v>13490357</v>
          </cell>
          <cell r="L284">
            <v>1500</v>
          </cell>
          <cell r="M284">
            <v>1471.8</v>
          </cell>
          <cell r="N284">
            <v>1441.4</v>
          </cell>
          <cell r="O284">
            <v>1430.3</v>
          </cell>
          <cell r="P284">
            <v>1636516</v>
          </cell>
          <cell r="Q284">
            <v>1734944</v>
          </cell>
          <cell r="R284">
            <v>3113774</v>
          </cell>
          <cell r="S284">
            <v>1454609</v>
          </cell>
          <cell r="T284">
            <v>0</v>
          </cell>
          <cell r="U284">
            <v>0</v>
          </cell>
          <cell r="V284">
            <v>0.37</v>
          </cell>
          <cell r="W284">
            <v>0.85</v>
          </cell>
          <cell r="X284">
            <v>713</v>
          </cell>
          <cell r="Y284">
            <v>214</v>
          </cell>
          <cell r="Z284">
            <v>0.84</v>
          </cell>
          <cell r="AA284">
            <v>0.28999999999999998</v>
          </cell>
          <cell r="AB284">
            <v>0.71550000000000002</v>
          </cell>
          <cell r="AC284">
            <v>1341344</v>
          </cell>
          <cell r="AD284">
            <v>1298880</v>
          </cell>
          <cell r="AE284">
            <v>1298880</v>
          </cell>
          <cell r="AF284">
            <v>1496</v>
          </cell>
          <cell r="AG284">
            <v>1465.5</v>
          </cell>
          <cell r="AH284">
            <v>1417.6</v>
          </cell>
          <cell r="AI284">
            <v>1404</v>
          </cell>
          <cell r="AJ284">
            <v>0</v>
          </cell>
          <cell r="AM284">
            <v>3</v>
          </cell>
          <cell r="AN284">
            <v>0</v>
          </cell>
          <cell r="AO284">
            <v>1367</v>
          </cell>
          <cell r="AQ284">
            <v>0</v>
          </cell>
          <cell r="AT284">
            <v>0</v>
          </cell>
          <cell r="AU284">
            <v>0</v>
          </cell>
          <cell r="AV284">
            <v>11097862</v>
          </cell>
          <cell r="AW284">
            <v>438480</v>
          </cell>
          <cell r="AX284">
            <v>467568</v>
          </cell>
          <cell r="AY284">
            <v>2893420</v>
          </cell>
          <cell r="AZ284">
            <v>1</v>
          </cell>
          <cell r="BA284">
            <v>1</v>
          </cell>
          <cell r="BB284">
            <v>0</v>
          </cell>
          <cell r="BC284">
            <v>0</v>
          </cell>
          <cell r="BE284">
            <v>11753881</v>
          </cell>
          <cell r="BF284">
            <v>2411</v>
          </cell>
          <cell r="BG284">
            <v>2671</v>
          </cell>
          <cell r="BH284">
            <v>33</v>
          </cell>
          <cell r="BI284">
            <v>66958648</v>
          </cell>
          <cell r="BJ284">
            <v>67179272</v>
          </cell>
          <cell r="BL284">
            <v>571</v>
          </cell>
          <cell r="BM284">
            <v>748</v>
          </cell>
          <cell r="BN284">
            <v>681</v>
          </cell>
          <cell r="BO284">
            <v>232</v>
          </cell>
          <cell r="BP284">
            <v>137</v>
          </cell>
          <cell r="BQ284">
            <v>203</v>
          </cell>
        </row>
        <row r="285">
          <cell r="A285">
            <v>507</v>
          </cell>
          <cell r="B285" t="str">
            <v>507 - Satanta</v>
          </cell>
          <cell r="C285" t="str">
            <v>Haskell</v>
          </cell>
          <cell r="D285">
            <v>69691559</v>
          </cell>
          <cell r="E285">
            <v>67158433</v>
          </cell>
          <cell r="F285">
            <v>55889615</v>
          </cell>
          <cell r="G285">
            <v>51904674</v>
          </cell>
          <cell r="H285">
            <v>219.5</v>
          </cell>
          <cell r="I285">
            <v>225.5</v>
          </cell>
          <cell r="J285">
            <v>250</v>
          </cell>
          <cell r="K285">
            <v>2952522</v>
          </cell>
          <cell r="L285">
            <v>246</v>
          </cell>
          <cell r="M285">
            <v>226.5</v>
          </cell>
          <cell r="N285">
            <v>232</v>
          </cell>
          <cell r="O285">
            <v>227.5</v>
          </cell>
          <cell r="P285">
            <v>166873</v>
          </cell>
          <cell r="Q285">
            <v>173948</v>
          </cell>
          <cell r="R285">
            <v>0</v>
          </cell>
          <cell r="S285">
            <v>226108</v>
          </cell>
          <cell r="T285">
            <v>6452</v>
          </cell>
          <cell r="U285">
            <v>13372</v>
          </cell>
          <cell r="V285">
            <v>0</v>
          </cell>
          <cell r="W285">
            <v>0</v>
          </cell>
          <cell r="X285">
            <v>138</v>
          </cell>
          <cell r="Y285">
            <v>27</v>
          </cell>
          <cell r="Z285">
            <v>0</v>
          </cell>
          <cell r="AA285">
            <v>0</v>
          </cell>
          <cell r="AB285">
            <v>0</v>
          </cell>
          <cell r="AC285">
            <v>330628</v>
          </cell>
          <cell r="AD285">
            <v>297208</v>
          </cell>
          <cell r="AE285">
            <v>297208</v>
          </cell>
          <cell r="AF285">
            <v>246</v>
          </cell>
          <cell r="AG285">
            <v>226.5</v>
          </cell>
          <cell r="AH285">
            <v>232</v>
          </cell>
          <cell r="AI285">
            <v>227.5</v>
          </cell>
          <cell r="AJ285">
            <v>0</v>
          </cell>
          <cell r="AM285">
            <v>0</v>
          </cell>
          <cell r="AN285">
            <v>0</v>
          </cell>
          <cell r="AO285">
            <v>222.5</v>
          </cell>
          <cell r="AQ285">
            <v>0</v>
          </cell>
          <cell r="AT285">
            <v>0</v>
          </cell>
          <cell r="AU285">
            <v>0</v>
          </cell>
          <cell r="AV285">
            <v>2633588</v>
          </cell>
          <cell r="AW285">
            <v>0</v>
          </cell>
          <cell r="AX285">
            <v>0</v>
          </cell>
          <cell r="AY285">
            <v>0</v>
          </cell>
          <cell r="AZ285">
            <v>1</v>
          </cell>
          <cell r="BA285">
            <v>1</v>
          </cell>
          <cell r="BB285">
            <v>0</v>
          </cell>
          <cell r="BC285">
            <v>0</v>
          </cell>
          <cell r="BE285">
            <v>2674189</v>
          </cell>
          <cell r="BF285">
            <v>2784</v>
          </cell>
          <cell r="BG285">
            <v>1627</v>
          </cell>
          <cell r="BH285">
            <v>33</v>
          </cell>
          <cell r="BI285">
            <v>69691559</v>
          </cell>
          <cell r="BJ285">
            <v>55889615</v>
          </cell>
          <cell r="BL285">
            <v>108</v>
          </cell>
          <cell r="BM285">
            <v>139</v>
          </cell>
          <cell r="BN285">
            <v>142</v>
          </cell>
          <cell r="BO285">
            <v>37</v>
          </cell>
          <cell r="BP285">
            <v>15</v>
          </cell>
          <cell r="BQ285">
            <v>30</v>
          </cell>
        </row>
        <row r="286">
          <cell r="A286">
            <v>508</v>
          </cell>
          <cell r="B286" t="str">
            <v>508 - Baxter Springs</v>
          </cell>
          <cell r="C286" t="str">
            <v>Cherokee</v>
          </cell>
          <cell r="D286">
            <v>40238852</v>
          </cell>
          <cell r="E286">
            <v>31800132</v>
          </cell>
          <cell r="F286">
            <v>45531504</v>
          </cell>
          <cell r="G286">
            <v>32568953</v>
          </cell>
          <cell r="H286">
            <v>774</v>
          </cell>
          <cell r="I286">
            <v>747</v>
          </cell>
          <cell r="J286">
            <v>26</v>
          </cell>
          <cell r="K286">
            <v>8310644</v>
          </cell>
          <cell r="L286">
            <v>839</v>
          </cell>
          <cell r="M286">
            <v>833.8</v>
          </cell>
          <cell r="N286">
            <v>806.4</v>
          </cell>
          <cell r="O286">
            <v>795.6</v>
          </cell>
          <cell r="P286">
            <v>883648</v>
          </cell>
          <cell r="Q286">
            <v>888028</v>
          </cell>
          <cell r="R286">
            <v>1957873</v>
          </cell>
          <cell r="S286">
            <v>764175</v>
          </cell>
          <cell r="T286">
            <v>0</v>
          </cell>
          <cell r="U286">
            <v>0</v>
          </cell>
          <cell r="V286">
            <v>0.27</v>
          </cell>
          <cell r="W286">
            <v>0.74</v>
          </cell>
          <cell r="X286">
            <v>474</v>
          </cell>
          <cell r="Y286">
            <v>44</v>
          </cell>
          <cell r="Z286">
            <v>0.75</v>
          </cell>
          <cell r="AA286">
            <v>0.2</v>
          </cell>
          <cell r="AB286">
            <v>0.69259999999999999</v>
          </cell>
          <cell r="AC286">
            <v>942324</v>
          </cell>
          <cell r="AD286">
            <v>832270</v>
          </cell>
          <cell r="AE286">
            <v>832270</v>
          </cell>
          <cell r="AF286">
            <v>797</v>
          </cell>
          <cell r="AG286">
            <v>795.5</v>
          </cell>
          <cell r="AH286">
            <v>768.3</v>
          </cell>
          <cell r="AI286">
            <v>765.8</v>
          </cell>
          <cell r="AJ286">
            <v>0</v>
          </cell>
          <cell r="AM286">
            <v>0</v>
          </cell>
          <cell r="AN286">
            <v>0</v>
          </cell>
          <cell r="AO286">
            <v>736.3</v>
          </cell>
          <cell r="AQ286">
            <v>0</v>
          </cell>
          <cell r="AT286">
            <v>0</v>
          </cell>
          <cell r="AU286">
            <v>0</v>
          </cell>
          <cell r="AV286">
            <v>7090153</v>
          </cell>
          <cell r="AW286">
            <v>256934</v>
          </cell>
          <cell r="AX286">
            <v>300505</v>
          </cell>
          <cell r="AY286">
            <v>1911429</v>
          </cell>
          <cell r="AZ286">
            <v>1</v>
          </cell>
          <cell r="BA286">
            <v>1</v>
          </cell>
          <cell r="BB286">
            <v>0</v>
          </cell>
          <cell r="BC286">
            <v>0</v>
          </cell>
          <cell r="BE286">
            <v>7422616</v>
          </cell>
          <cell r="BF286">
            <v>453</v>
          </cell>
          <cell r="BG286">
            <v>462</v>
          </cell>
          <cell r="BH286">
            <v>33</v>
          </cell>
          <cell r="BI286">
            <v>41275546</v>
          </cell>
          <cell r="BJ286">
            <v>45808687</v>
          </cell>
          <cell r="BL286">
            <v>414</v>
          </cell>
          <cell r="BM286">
            <v>465</v>
          </cell>
          <cell r="BN286">
            <v>455</v>
          </cell>
          <cell r="BO286">
            <v>85</v>
          </cell>
          <cell r="BP286">
            <v>60</v>
          </cell>
          <cell r="BQ286">
            <v>50</v>
          </cell>
        </row>
        <row r="287">
          <cell r="A287">
            <v>509</v>
          </cell>
          <cell r="B287" t="str">
            <v>509 - South Haven</v>
          </cell>
          <cell r="C287" t="str">
            <v>Sumner</v>
          </cell>
          <cell r="D287">
            <v>12291391</v>
          </cell>
          <cell r="E287">
            <v>10769123</v>
          </cell>
          <cell r="F287">
            <v>11853372</v>
          </cell>
          <cell r="G287">
            <v>9482088</v>
          </cell>
          <cell r="H287">
            <v>197.7</v>
          </cell>
          <cell r="I287">
            <v>198</v>
          </cell>
          <cell r="J287">
            <v>150</v>
          </cell>
          <cell r="K287">
            <v>2527122</v>
          </cell>
          <cell r="L287">
            <v>189.8</v>
          </cell>
          <cell r="M287">
            <v>199.2</v>
          </cell>
          <cell r="N287">
            <v>200.8</v>
          </cell>
          <cell r="O287">
            <v>195.2</v>
          </cell>
          <cell r="P287">
            <v>336736</v>
          </cell>
          <cell r="Q287">
            <v>372359</v>
          </cell>
          <cell r="R287">
            <v>525604</v>
          </cell>
          <cell r="S287">
            <v>314886</v>
          </cell>
          <cell r="T287">
            <v>0</v>
          </cell>
          <cell r="U287">
            <v>0</v>
          </cell>
          <cell r="V287">
            <v>0.28999999999999998</v>
          </cell>
          <cell r="W287">
            <v>0.76</v>
          </cell>
          <cell r="X287">
            <v>62</v>
          </cell>
          <cell r="Y287">
            <v>15</v>
          </cell>
          <cell r="Z287">
            <v>0.75</v>
          </cell>
          <cell r="AA287">
            <v>0.2</v>
          </cell>
          <cell r="AB287">
            <v>0.63739999999999997</v>
          </cell>
          <cell r="AC287">
            <v>220822</v>
          </cell>
          <cell r="AD287">
            <v>209496</v>
          </cell>
          <cell r="AE287">
            <v>209496</v>
          </cell>
          <cell r="AF287">
            <v>189.8</v>
          </cell>
          <cell r="AG287">
            <v>199.2</v>
          </cell>
          <cell r="AH287">
            <v>200.8</v>
          </cell>
          <cell r="AI287">
            <v>195.2</v>
          </cell>
          <cell r="AJ287">
            <v>0</v>
          </cell>
          <cell r="AM287">
            <v>0</v>
          </cell>
          <cell r="AN287">
            <v>0</v>
          </cell>
          <cell r="AO287">
            <v>190.6</v>
          </cell>
          <cell r="AQ287">
            <v>0</v>
          </cell>
          <cell r="AT287">
            <v>0</v>
          </cell>
          <cell r="AU287">
            <v>0</v>
          </cell>
          <cell r="AV287">
            <v>2077680</v>
          </cell>
          <cell r="AW287">
            <v>63625</v>
          </cell>
          <cell r="AX287">
            <v>47660</v>
          </cell>
          <cell r="AY287">
            <v>500935</v>
          </cell>
          <cell r="AZ287">
            <v>1</v>
          </cell>
          <cell r="BA287">
            <v>1</v>
          </cell>
          <cell r="BB287">
            <v>0</v>
          </cell>
          <cell r="BC287">
            <v>0</v>
          </cell>
          <cell r="BE287">
            <v>2153222</v>
          </cell>
          <cell r="BF287">
            <v>3125</v>
          </cell>
          <cell r="BG287">
            <v>3275</v>
          </cell>
          <cell r="BH287">
            <v>33</v>
          </cell>
          <cell r="BI287">
            <v>12291391</v>
          </cell>
          <cell r="BJ287">
            <v>11025208</v>
          </cell>
          <cell r="BL287">
            <v>39</v>
          </cell>
          <cell r="BM287">
            <v>47</v>
          </cell>
          <cell r="BN287">
            <v>76</v>
          </cell>
          <cell r="BO287">
            <v>22</v>
          </cell>
          <cell r="BP287">
            <v>25</v>
          </cell>
          <cell r="BQ287">
            <v>10</v>
          </cell>
        </row>
        <row r="288">
          <cell r="A288">
            <v>511</v>
          </cell>
          <cell r="B288" t="str">
            <v>511 - Attica</v>
          </cell>
          <cell r="C288" t="str">
            <v>Harper</v>
          </cell>
          <cell r="D288">
            <v>14035951</v>
          </cell>
          <cell r="E288">
            <v>12556938</v>
          </cell>
          <cell r="F288">
            <v>11534028</v>
          </cell>
          <cell r="G288">
            <v>9251010</v>
          </cell>
          <cell r="H288">
            <v>163.1</v>
          </cell>
          <cell r="I288">
            <v>147</v>
          </cell>
          <cell r="J288">
            <v>126</v>
          </cell>
          <cell r="K288">
            <v>2074295</v>
          </cell>
          <cell r="L288">
            <v>159.5</v>
          </cell>
          <cell r="M288">
            <v>167.6</v>
          </cell>
          <cell r="N288">
            <v>151</v>
          </cell>
          <cell r="O288">
            <v>161.19999999999999</v>
          </cell>
          <cell r="P288">
            <v>220320</v>
          </cell>
          <cell r="Q288">
            <v>205969</v>
          </cell>
          <cell r="R288">
            <v>348231</v>
          </cell>
          <cell r="S288">
            <v>149260</v>
          </cell>
          <cell r="T288">
            <v>0</v>
          </cell>
          <cell r="U288">
            <v>0</v>
          </cell>
          <cell r="V288">
            <v>0.14000000000000001</v>
          </cell>
          <cell r="W288">
            <v>0.61</v>
          </cell>
          <cell r="X288">
            <v>75</v>
          </cell>
          <cell r="Y288">
            <v>17</v>
          </cell>
          <cell r="Z288">
            <v>0.6</v>
          </cell>
          <cell r="AA288">
            <v>0.05</v>
          </cell>
          <cell r="AB288">
            <v>0.50360000000000005</v>
          </cell>
          <cell r="AC288">
            <v>186281</v>
          </cell>
          <cell r="AD288">
            <v>180632</v>
          </cell>
          <cell r="AE288">
            <v>180632</v>
          </cell>
          <cell r="AF288">
            <v>159.5</v>
          </cell>
          <cell r="AG288">
            <v>167.6</v>
          </cell>
          <cell r="AH288">
            <v>151</v>
          </cell>
          <cell r="AI288">
            <v>161.19999999999999</v>
          </cell>
          <cell r="AJ288">
            <v>0</v>
          </cell>
          <cell r="AM288">
            <v>0</v>
          </cell>
          <cell r="AN288">
            <v>0</v>
          </cell>
          <cell r="AO288">
            <v>155.69999999999999</v>
          </cell>
          <cell r="AQ288">
            <v>0</v>
          </cell>
          <cell r="AT288">
            <v>0</v>
          </cell>
          <cell r="AU288">
            <v>0</v>
          </cell>
          <cell r="AV288">
            <v>1756409</v>
          </cell>
          <cell r="AW288">
            <v>57170</v>
          </cell>
          <cell r="AX288">
            <v>36803</v>
          </cell>
          <cell r="AY288">
            <v>357171</v>
          </cell>
          <cell r="AZ288">
            <v>1</v>
          </cell>
          <cell r="BA288">
            <v>1</v>
          </cell>
          <cell r="BB288">
            <v>0</v>
          </cell>
          <cell r="BC288">
            <v>0</v>
          </cell>
          <cell r="BE288">
            <v>1862094</v>
          </cell>
          <cell r="BF288">
            <v>0</v>
          </cell>
          <cell r="BG288">
            <v>827</v>
          </cell>
          <cell r="BH288">
            <v>33</v>
          </cell>
          <cell r="BI288">
            <v>14035951</v>
          </cell>
          <cell r="BJ288">
            <v>11516729</v>
          </cell>
          <cell r="BL288">
            <v>39</v>
          </cell>
          <cell r="BM288">
            <v>76</v>
          </cell>
          <cell r="BN288">
            <v>61</v>
          </cell>
          <cell r="BO288">
            <v>40</v>
          </cell>
          <cell r="BP288">
            <v>28</v>
          </cell>
          <cell r="BQ288">
            <v>22</v>
          </cell>
        </row>
        <row r="289">
          <cell r="A289">
            <v>512</v>
          </cell>
          <cell r="B289" t="str">
            <v>512 - Shawnee Mission Pub Sch</v>
          </cell>
          <cell r="C289" t="str">
            <v>Johnson</v>
          </cell>
          <cell r="D289">
            <v>5471095104</v>
          </cell>
          <cell r="E289">
            <v>5109686134</v>
          </cell>
          <cell r="F289">
            <v>5807804527</v>
          </cell>
          <cell r="G289">
            <v>5162831447</v>
          </cell>
          <cell r="H289">
            <v>25904.9</v>
          </cell>
          <cell r="I289">
            <v>25770.7</v>
          </cell>
          <cell r="J289">
            <v>72</v>
          </cell>
          <cell r="K289">
            <v>221850984</v>
          </cell>
          <cell r="L289">
            <v>25917.8</v>
          </cell>
          <cell r="M289">
            <v>26062.7</v>
          </cell>
          <cell r="N289">
            <v>25923.1</v>
          </cell>
          <cell r="O289">
            <v>25957.9</v>
          </cell>
          <cell r="P289">
            <v>25337328</v>
          </cell>
          <cell r="Q289">
            <v>30028142</v>
          </cell>
          <cell r="R289">
            <v>0</v>
          </cell>
          <cell r="S289">
            <v>26103306</v>
          </cell>
          <cell r="T289">
            <v>0</v>
          </cell>
          <cell r="U289">
            <v>0</v>
          </cell>
          <cell r="V289">
            <v>0</v>
          </cell>
          <cell r="W289">
            <v>0</v>
          </cell>
          <cell r="X289">
            <v>8265</v>
          </cell>
          <cell r="Y289">
            <v>1731</v>
          </cell>
          <cell r="Z289">
            <v>0</v>
          </cell>
          <cell r="AA289">
            <v>0</v>
          </cell>
          <cell r="AB289">
            <v>0</v>
          </cell>
          <cell r="AC289">
            <v>27279544</v>
          </cell>
          <cell r="AD289">
            <v>27515669</v>
          </cell>
          <cell r="AE289">
            <v>27515669</v>
          </cell>
          <cell r="AF289">
            <v>25909.9</v>
          </cell>
          <cell r="AG289">
            <v>26054.400000000001</v>
          </cell>
          <cell r="AH289">
            <v>25913.7</v>
          </cell>
          <cell r="AI289">
            <v>25955.4</v>
          </cell>
          <cell r="AJ289">
            <v>6.25E-2</v>
          </cell>
          <cell r="AM289">
            <v>73</v>
          </cell>
          <cell r="AN289">
            <v>0</v>
          </cell>
          <cell r="AO289">
            <v>25822.9</v>
          </cell>
          <cell r="AQ289">
            <v>0</v>
          </cell>
          <cell r="AT289">
            <v>0</v>
          </cell>
          <cell r="AU289">
            <v>0</v>
          </cell>
          <cell r="AV289">
            <v>182168492</v>
          </cell>
          <cell r="AW289">
            <v>0</v>
          </cell>
          <cell r="AX289">
            <v>0</v>
          </cell>
          <cell r="AY289">
            <v>0</v>
          </cell>
          <cell r="AZ289">
            <v>1</v>
          </cell>
          <cell r="BA289">
            <v>1</v>
          </cell>
          <cell r="BB289">
            <v>440334</v>
          </cell>
          <cell r="BC289">
            <v>452380</v>
          </cell>
          <cell r="BE289">
            <v>191822842</v>
          </cell>
          <cell r="BF289">
            <v>20799</v>
          </cell>
          <cell r="BG289">
            <v>13061</v>
          </cell>
          <cell r="BH289">
            <v>33</v>
          </cell>
          <cell r="BI289">
            <v>5136595088</v>
          </cell>
          <cell r="BJ289">
            <v>5388012832</v>
          </cell>
          <cell r="BL289">
            <v>6171</v>
          </cell>
          <cell r="BM289">
            <v>8283</v>
          </cell>
          <cell r="BN289">
            <v>8569</v>
          </cell>
          <cell r="BO289">
            <v>2211</v>
          </cell>
          <cell r="BP289">
            <v>1884</v>
          </cell>
          <cell r="BQ289">
            <v>1556</v>
          </cell>
        </row>
      </sheetData>
      <sheetData sheetId="71"/>
      <sheetData sheetId="72"/>
      <sheetData sheetId="73"/>
      <sheetData sheetId="74"/>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0.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3.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4.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5.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6.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7.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8.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9.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0.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3.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4.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5.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6.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7.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8.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9.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0.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3.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4.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5.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6.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7.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8.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9.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0.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3.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4.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5.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6.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7.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8.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9.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0.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3.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4.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5.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6.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6.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7.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8.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9.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8" Type="http://schemas.openxmlformats.org/officeDocument/2006/relationships/hyperlink" Target="https://ksreportcard.ksde.org/default.aspx" TargetMode="External"/><Relationship Id="rId3" Type="http://schemas.openxmlformats.org/officeDocument/2006/relationships/hyperlink" Target="https://datacentral.ksde.org/school_finance_reports.aspx" TargetMode="External"/><Relationship Id="rId7" Type="http://schemas.openxmlformats.org/officeDocument/2006/relationships/hyperlink" Target="https://datacentral.ksde.org/dist_funding_rpt.aspx" TargetMode="External"/><Relationship Id="rId2" Type="http://schemas.openxmlformats.org/officeDocument/2006/relationships/hyperlink" Target="https://datacentral.ksde.org/report_gen.aspx" TargetMode="External"/><Relationship Id="rId1" Type="http://schemas.openxmlformats.org/officeDocument/2006/relationships/hyperlink" Target="https://datacentral.ksde.org/" TargetMode="External"/><Relationship Id="rId6" Type="http://schemas.openxmlformats.org/officeDocument/2006/relationships/hyperlink" Target="https://datacentral.ksde.org/cpa_reports.aspx" TargetMode="External"/><Relationship Id="rId5" Type="http://schemas.openxmlformats.org/officeDocument/2006/relationships/hyperlink" Target="https://datacentral.ksde.org/budget.aspx" TargetMode="External"/><Relationship Id="rId10" Type="http://schemas.openxmlformats.org/officeDocument/2006/relationships/drawing" Target="../drawings/drawing4.xml"/><Relationship Id="rId4" Type="http://schemas.openxmlformats.org/officeDocument/2006/relationships/hyperlink" Target="https://datacentral.ksde.org/cpfs.aspx" TargetMode="External"/><Relationship Id="rId9" Type="http://schemas.openxmlformats.org/officeDocument/2006/relationships/printerSettings" Target="../printerSettings/printerSettings8.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98011D-99F2-43F7-BA3A-2E8F66D35B99}">
  <dimension ref="A1:J44"/>
  <sheetViews>
    <sheetView zoomScaleNormal="100" workbookViewId="0">
      <selection sqref="A1:J1"/>
    </sheetView>
  </sheetViews>
  <sheetFormatPr defaultRowHeight="15"/>
  <sheetData>
    <row r="1" spans="1:10" s="139" customFormat="1">
      <c r="A1" s="646" t="s">
        <v>262</v>
      </c>
      <c r="B1" s="646"/>
      <c r="C1" s="646"/>
      <c r="D1" s="646"/>
      <c r="E1" s="646"/>
      <c r="F1" s="646"/>
      <c r="G1" s="646"/>
      <c r="H1" s="646"/>
      <c r="I1" s="646"/>
      <c r="J1" s="646"/>
    </row>
    <row r="2" spans="1:10" s="139" customFormat="1" ht="12.75">
      <c r="A2" s="632"/>
    </row>
    <row r="3" spans="1:10" s="139" customFormat="1" ht="30" customHeight="1">
      <c r="A3" s="642" t="s">
        <v>271</v>
      </c>
      <c r="B3" s="642"/>
      <c r="C3" s="642"/>
      <c r="D3" s="642"/>
      <c r="E3" s="642"/>
      <c r="F3" s="642"/>
      <c r="G3" s="642"/>
      <c r="H3" s="642"/>
      <c r="I3" s="642"/>
      <c r="J3" s="642"/>
    </row>
    <row r="4" spans="1:10" s="139" customFormat="1" ht="12.75">
      <c r="A4" s="633"/>
    </row>
    <row r="5" spans="1:10" s="139" customFormat="1" ht="12.75">
      <c r="A5" s="634" t="s">
        <v>263</v>
      </c>
    </row>
    <row r="6" spans="1:10" s="139" customFormat="1" ht="12.75">
      <c r="A6" s="634" t="s">
        <v>272</v>
      </c>
    </row>
    <row r="7" spans="1:10" s="139" customFormat="1" ht="12.75">
      <c r="A7" s="635" t="s">
        <v>266</v>
      </c>
    </row>
    <row r="8" spans="1:10" s="139" customFormat="1" ht="12.75">
      <c r="A8" s="634" t="s">
        <v>264</v>
      </c>
    </row>
    <row r="9" spans="1:10" s="139" customFormat="1" ht="12.75">
      <c r="A9" s="634" t="s">
        <v>265</v>
      </c>
    </row>
    <row r="10" spans="1:10" s="139" customFormat="1" ht="12.75">
      <c r="A10" s="636" t="s">
        <v>273</v>
      </c>
    </row>
    <row r="11" spans="1:10" s="139" customFormat="1" ht="41.25" customHeight="1">
      <c r="A11" s="643" t="s">
        <v>270</v>
      </c>
      <c r="B11" s="643"/>
      <c r="C11" s="643"/>
      <c r="D11" s="643"/>
      <c r="E11" s="643"/>
      <c r="F11" s="643"/>
      <c r="G11" s="643"/>
      <c r="H11" s="643"/>
      <c r="I11" s="643"/>
      <c r="J11" s="643"/>
    </row>
    <row r="12" spans="1:10" s="139" customFormat="1" ht="12.75">
      <c r="A12" s="637" t="s">
        <v>274</v>
      </c>
    </row>
    <row r="23" spans="1:10" ht="44.25" customHeight="1">
      <c r="A23" s="644" t="s">
        <v>268</v>
      </c>
      <c r="B23" s="644"/>
      <c r="C23" s="644"/>
      <c r="D23" s="644"/>
      <c r="E23" s="644"/>
      <c r="F23" s="644"/>
      <c r="G23" s="644"/>
      <c r="H23" s="644"/>
      <c r="I23" s="644"/>
      <c r="J23" s="644"/>
    </row>
    <row r="40" spans="1:10" s="139" customFormat="1" ht="12.75">
      <c r="A40" s="634" t="s">
        <v>269</v>
      </c>
    </row>
    <row r="41" spans="1:10" s="139" customFormat="1" ht="12.75">
      <c r="A41" s="636" t="s">
        <v>275</v>
      </c>
    </row>
    <row r="42" spans="1:10" s="139" customFormat="1" ht="12.75"/>
    <row r="43" spans="1:10" s="139" customFormat="1" ht="30" customHeight="1">
      <c r="A43" s="645" t="s">
        <v>267</v>
      </c>
      <c r="B43" s="645"/>
      <c r="C43" s="645"/>
      <c r="D43" s="645"/>
      <c r="E43" s="645"/>
      <c r="F43" s="645"/>
      <c r="G43" s="645"/>
      <c r="H43" s="645"/>
      <c r="I43" s="645"/>
      <c r="J43" s="645"/>
    </row>
    <row r="44" spans="1:10" s="139" customFormat="1" ht="12.75"/>
  </sheetData>
  <sheetProtection algorithmName="SHA-512" hashValue="gjqEJD19x7ho1t3CY3WeKu0Qz37HZFZspGhUMqRUEMzm5WrHqEM9ngSlWs9gv8rT0/IzunhVsD95EXMttQlTnw==" saltValue="yra10xsUDMH3oIACHZbGMg==" spinCount="100000" sheet="1" objects="1" scenarios="1"/>
  <mergeCells count="5">
    <mergeCell ref="A3:J3"/>
    <mergeCell ref="A11:J11"/>
    <mergeCell ref="A23:J23"/>
    <mergeCell ref="A43:J43"/>
    <mergeCell ref="A1:J1"/>
  </mergeCells>
  <pageMargins left="0.45" right="0.2" top="0.25" bottom="0.25" header="0.3" footer="0.3"/>
  <pageSetup orientation="portrait" r:id="rId1"/>
  <headerFooter>
    <oddFooter>&amp;R&amp;9Sumexpen.xlsx 
HELP With Labels</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K1492"/>
  <sheetViews>
    <sheetView showGridLines="0" topLeftCell="B1" zoomScaleNormal="100" workbookViewId="0">
      <selection activeCell="B1" sqref="B1"/>
    </sheetView>
  </sheetViews>
  <sheetFormatPr defaultColWidth="9.140625" defaultRowHeight="14.25"/>
  <cols>
    <col min="1" max="1" width="1.85546875" style="80" hidden="1" customWidth="1"/>
    <col min="2" max="2" width="31.28515625" style="80" customWidth="1"/>
    <col min="3" max="3" width="6" style="80" hidden="1" customWidth="1"/>
    <col min="4" max="4" width="14" style="80" bestFit="1" customWidth="1"/>
    <col min="5" max="5" width="11.85546875" style="80" customWidth="1"/>
    <col min="6" max="6" width="13.7109375" style="80" bestFit="1" customWidth="1"/>
    <col min="7" max="7" width="10.85546875" style="80" bestFit="1" customWidth="1"/>
    <col min="8" max="8" width="17.5703125" style="80" customWidth="1"/>
    <col min="9" max="9" width="11.85546875" style="80" bestFit="1" customWidth="1"/>
    <col min="10" max="10" width="10.85546875" style="80" customWidth="1"/>
    <col min="11" max="11" width="10.85546875" style="80" bestFit="1" customWidth="1"/>
    <col min="12" max="12" width="9.7109375" style="80" customWidth="1"/>
    <col min="13" max="14" width="5.42578125" style="80" customWidth="1"/>
    <col min="15" max="22" width="30.7109375" style="80" customWidth="1"/>
    <col min="23" max="23" width="10.5703125" style="80" customWidth="1"/>
    <col min="24" max="24" width="16.85546875" style="80" bestFit="1" customWidth="1"/>
    <col min="25" max="25" width="14.85546875" style="80" customWidth="1"/>
    <col min="26" max="26" width="14" style="80" customWidth="1"/>
    <col min="27" max="27" width="13.42578125" style="80" customWidth="1"/>
    <col min="28" max="38" width="9.140625" style="80"/>
    <col min="39" max="39" width="12" style="80" customWidth="1"/>
    <col min="40" max="40" width="11.42578125" style="80" customWidth="1"/>
    <col min="41" max="16384" width="9.140625" style="80"/>
  </cols>
  <sheetData>
    <row r="1" spans="2:37">
      <c r="B1" s="140" t="str">
        <f>$I$4</f>
        <v>2025-2026</v>
      </c>
      <c r="C1" s="2"/>
      <c r="G1" s="46"/>
      <c r="H1" s="81">
        <f>[1]OPEN!$B$4</f>
        <v>225</v>
      </c>
      <c r="K1" s="46" t="s">
        <v>156</v>
      </c>
      <c r="L1" s="82">
        <f>[1]OPEN!$B$4</f>
        <v>225</v>
      </c>
      <c r="M1" s="2"/>
      <c r="N1" s="2"/>
      <c r="O1" s="2"/>
      <c r="Q1" s="140" t="str">
        <f>RIGHT(I4,4)</f>
        <v>2026</v>
      </c>
      <c r="R1" s="2"/>
      <c r="S1" s="2"/>
      <c r="T1" s="2"/>
      <c r="U1" s="2"/>
      <c r="V1" s="2"/>
      <c r="W1" s="2"/>
      <c r="X1" s="2"/>
      <c r="Y1" s="2"/>
      <c r="Z1" s="2"/>
      <c r="AA1" s="2"/>
      <c r="AB1" s="2"/>
      <c r="AC1" s="2"/>
      <c r="AD1" s="2"/>
      <c r="AE1" s="2"/>
      <c r="AF1" s="2"/>
      <c r="AG1" s="2"/>
      <c r="AH1" s="2"/>
      <c r="AI1" s="2"/>
      <c r="AJ1" s="2"/>
      <c r="AK1" s="2"/>
    </row>
    <row r="2" spans="2:37" ht="18">
      <c r="B2" s="141" t="s">
        <v>159</v>
      </c>
      <c r="C2" s="142"/>
      <c r="D2" s="142"/>
      <c r="E2" s="143"/>
      <c r="F2" s="143"/>
      <c r="G2" s="143"/>
      <c r="H2" s="143"/>
      <c r="I2" s="143"/>
      <c r="J2" s="142"/>
      <c r="K2" s="142"/>
      <c r="L2" s="143"/>
      <c r="M2" s="2"/>
      <c r="N2" s="2"/>
      <c r="O2" s="2"/>
      <c r="P2" s="2"/>
      <c r="Q2" s="2"/>
      <c r="R2" s="2"/>
      <c r="S2" s="2"/>
      <c r="T2" s="2"/>
      <c r="U2" s="2"/>
      <c r="V2" s="2"/>
      <c r="W2" s="2"/>
      <c r="X2" s="2"/>
      <c r="Y2" s="2"/>
      <c r="Z2" s="2"/>
      <c r="AA2" s="2"/>
      <c r="AB2" s="2"/>
      <c r="AC2" s="2"/>
      <c r="AD2" s="2"/>
      <c r="AE2" s="2"/>
      <c r="AF2" s="2"/>
      <c r="AG2" s="2"/>
      <c r="AH2" s="2"/>
      <c r="AI2" s="2"/>
      <c r="AJ2" s="2"/>
      <c r="AK2" s="2"/>
    </row>
    <row r="3" spans="2:37" ht="16.5" customHeight="1">
      <c r="C3" s="144"/>
      <c r="D3" s="144"/>
      <c r="E3" s="144"/>
      <c r="F3" s="144"/>
      <c r="G3" s="144"/>
      <c r="H3" s="144"/>
      <c r="I3" s="144"/>
      <c r="J3" s="144"/>
      <c r="K3" s="144"/>
      <c r="L3" s="144"/>
      <c r="M3" s="2"/>
      <c r="N3" s="2"/>
      <c r="O3" s="2"/>
      <c r="P3" s="2"/>
      <c r="Q3" s="2"/>
      <c r="R3" s="2"/>
      <c r="S3" s="2"/>
      <c r="T3" s="2"/>
      <c r="U3" s="2"/>
      <c r="V3" s="2"/>
      <c r="W3" s="2"/>
      <c r="X3" s="2"/>
      <c r="Y3" s="2"/>
      <c r="Z3" s="2"/>
      <c r="AA3" s="2"/>
      <c r="AB3" s="2"/>
      <c r="AC3" s="2"/>
      <c r="AD3" s="2"/>
      <c r="AE3" s="2"/>
      <c r="AF3" s="2"/>
      <c r="AG3" s="2"/>
      <c r="AH3" s="2"/>
      <c r="AI3" s="2"/>
      <c r="AJ3" s="2"/>
      <c r="AK3" s="2"/>
    </row>
    <row r="4" spans="2:37">
      <c r="B4" s="2"/>
      <c r="C4" s="145"/>
      <c r="D4" s="146" t="str">
        <f>[1]OpenData!$N$4</f>
        <v>2023-2024</v>
      </c>
      <c r="E4" s="147" t="s">
        <v>154</v>
      </c>
      <c r="F4" s="146" t="str">
        <f>[1]OpenData!$O$4</f>
        <v>2024-2025</v>
      </c>
      <c r="G4" s="147" t="s">
        <v>154</v>
      </c>
      <c r="H4" s="148" t="s">
        <v>2</v>
      </c>
      <c r="I4" s="146" t="str">
        <f>[1]OpenData!$P$4</f>
        <v>2025-2026</v>
      </c>
      <c r="J4" s="147" t="s">
        <v>154</v>
      </c>
      <c r="K4" s="847" t="s">
        <v>2</v>
      </c>
      <c r="L4" s="848"/>
      <c r="M4" s="2"/>
      <c r="N4" s="2"/>
      <c r="O4" s="2"/>
      <c r="P4" s="149"/>
      <c r="Q4" s="2"/>
      <c r="R4" s="149"/>
      <c r="S4" s="2"/>
      <c r="T4" s="2"/>
      <c r="U4" s="2"/>
      <c r="V4" s="2"/>
      <c r="W4" s="2"/>
      <c r="X4" s="2"/>
      <c r="Y4" s="2"/>
      <c r="Z4" s="2"/>
      <c r="AA4" s="2"/>
      <c r="AB4" s="2"/>
      <c r="AC4" s="2"/>
      <c r="AD4" s="2"/>
      <c r="AE4" s="2"/>
      <c r="AF4" s="2"/>
    </row>
    <row r="5" spans="2:37" ht="15" thickBot="1">
      <c r="B5" s="2"/>
      <c r="C5" s="145" t="s">
        <v>4</v>
      </c>
      <c r="D5" s="150" t="s">
        <v>5</v>
      </c>
      <c r="E5" s="150" t="s">
        <v>143</v>
      </c>
      <c r="F5" s="150" t="s">
        <v>5</v>
      </c>
      <c r="G5" s="150" t="s">
        <v>143</v>
      </c>
      <c r="H5" s="150" t="s">
        <v>144</v>
      </c>
      <c r="I5" s="150" t="s">
        <v>6</v>
      </c>
      <c r="J5" s="150" t="s">
        <v>143</v>
      </c>
      <c r="K5" s="849" t="s">
        <v>144</v>
      </c>
      <c r="L5" s="850"/>
      <c r="M5" s="2"/>
      <c r="N5" s="2"/>
      <c r="O5" s="2"/>
      <c r="P5" s="151"/>
      <c r="Q5" s="151"/>
      <c r="R5" s="151"/>
      <c r="S5" s="2"/>
      <c r="T5" s="2"/>
      <c r="U5" s="46"/>
      <c r="V5" s="46"/>
      <c r="W5" s="46"/>
      <c r="X5" s="2"/>
      <c r="Y5" s="2"/>
      <c r="Z5" s="2"/>
      <c r="AA5" s="2"/>
      <c r="AB5" s="2"/>
      <c r="AC5" s="2"/>
      <c r="AD5" s="2"/>
      <c r="AE5" s="2"/>
      <c r="AF5" s="2"/>
    </row>
    <row r="6" spans="2:37">
      <c r="B6" s="152" t="s">
        <v>8</v>
      </c>
      <c r="C6" s="153"/>
      <c r="D6" s="154">
        <f>D359</f>
        <v>938685</v>
      </c>
      <c r="E6" s="155">
        <f t="shared" ref="E6:E14" si="0">IF(OR(D$16=0,D6=0),0,IF(D6/D$16&lt;0.001,"&lt;1%",D6/D$16))</f>
        <v>0.48</v>
      </c>
      <c r="F6" s="154">
        <f>F359</f>
        <v>1968697</v>
      </c>
      <c r="G6" s="156">
        <f t="shared" ref="G6:G14" si="1">IF(OR(F$16=0,F6=0),0,IF(F6/F$16&lt;0.001,"&lt;1%",F6/F$16))</f>
        <v>0.6</v>
      </c>
      <c r="H6" s="156">
        <f t="shared" ref="H6:H19" si="2">IF(D6=0,0,((F6-D6)/D6))</f>
        <v>1.1000000000000001</v>
      </c>
      <c r="I6" s="154">
        <f>J359</f>
        <v>1412804</v>
      </c>
      <c r="J6" s="156">
        <f t="shared" ref="J6:J14" si="3">IF(OR(I$16=0,I6=0),0,IF(I6/I$16&lt;0.001,"&lt;1%",I6/I$16))</f>
        <v>0.5</v>
      </c>
      <c r="K6" s="851">
        <f t="shared" ref="K6:K19" si="4">IF(F6=0,0,((I6-F6)/F6))</f>
        <v>-0.28000000000000003</v>
      </c>
      <c r="L6" s="852"/>
      <c r="M6" s="2"/>
      <c r="N6" s="2"/>
      <c r="O6" s="157"/>
      <c r="P6" s="158"/>
      <c r="Q6" s="158"/>
      <c r="R6" s="158"/>
      <c r="T6" s="2"/>
      <c r="U6" s="159"/>
      <c r="V6" s="159"/>
      <c r="W6" s="159"/>
      <c r="X6" s="2"/>
      <c r="Y6" s="2"/>
      <c r="Z6" s="2"/>
      <c r="AA6" s="2"/>
      <c r="AB6" s="2"/>
      <c r="AC6" s="2"/>
      <c r="AD6" s="2"/>
      <c r="AE6" s="2"/>
      <c r="AF6" s="2"/>
    </row>
    <row r="7" spans="2:37">
      <c r="B7" s="160" t="s">
        <v>127</v>
      </c>
      <c r="C7" s="161"/>
      <c r="D7" s="162">
        <f>D423</f>
        <v>2063</v>
      </c>
      <c r="E7" s="163">
        <f t="shared" si="0"/>
        <v>0</v>
      </c>
      <c r="F7" s="162">
        <f>F423</f>
        <v>267</v>
      </c>
      <c r="G7" s="164" t="str">
        <f t="shared" si="1"/>
        <v>&lt;1%</v>
      </c>
      <c r="H7" s="163">
        <f t="shared" si="2"/>
        <v>-0.87</v>
      </c>
      <c r="I7" s="162">
        <f>J423</f>
        <v>0</v>
      </c>
      <c r="J7" s="164">
        <f t="shared" si="3"/>
        <v>0</v>
      </c>
      <c r="K7" s="826">
        <f t="shared" si="4"/>
        <v>-1</v>
      </c>
      <c r="L7" s="827"/>
      <c r="M7" s="165"/>
      <c r="N7" s="165"/>
      <c r="O7" s="157"/>
      <c r="P7" s="158"/>
      <c r="Q7" s="158"/>
      <c r="R7" s="158"/>
      <c r="T7" s="2"/>
      <c r="U7" s="159"/>
      <c r="V7" s="159"/>
      <c r="W7" s="159"/>
      <c r="X7" s="2"/>
      <c r="Y7" s="2"/>
      <c r="Z7" s="2"/>
      <c r="AA7" s="2"/>
      <c r="AB7" s="2"/>
      <c r="AC7" s="2"/>
      <c r="AD7" s="2"/>
      <c r="AE7" s="2"/>
      <c r="AF7" s="2"/>
    </row>
    <row r="8" spans="2:37">
      <c r="B8" s="152" t="s">
        <v>128</v>
      </c>
      <c r="C8" s="153"/>
      <c r="D8" s="166">
        <f>D487</f>
        <v>1258</v>
      </c>
      <c r="E8" s="155" t="str">
        <f t="shared" si="0"/>
        <v>&lt;1%</v>
      </c>
      <c r="F8" s="166">
        <f>F487</f>
        <v>240</v>
      </c>
      <c r="G8" s="156" t="str">
        <f t="shared" si="1"/>
        <v>&lt;1%</v>
      </c>
      <c r="H8" s="155">
        <f t="shared" si="2"/>
        <v>-0.81</v>
      </c>
      <c r="I8" s="166">
        <f>J487</f>
        <v>100</v>
      </c>
      <c r="J8" s="156" t="str">
        <f t="shared" si="3"/>
        <v>&lt;1%</v>
      </c>
      <c r="K8" s="843">
        <f t="shared" si="4"/>
        <v>-0.57999999999999996</v>
      </c>
      <c r="L8" s="844"/>
      <c r="M8" s="165"/>
      <c r="N8" s="165"/>
      <c r="O8" s="157"/>
      <c r="P8" s="158"/>
      <c r="Q8" s="158"/>
      <c r="R8" s="158"/>
      <c r="T8" s="2"/>
      <c r="U8" s="159"/>
      <c r="V8" s="159"/>
      <c r="W8" s="159"/>
      <c r="X8" s="2"/>
      <c r="Y8" s="2"/>
      <c r="Z8" s="2"/>
      <c r="AA8" s="2"/>
      <c r="AB8" s="2"/>
      <c r="AC8" s="2"/>
      <c r="AD8" s="2"/>
      <c r="AE8" s="2"/>
      <c r="AF8" s="2"/>
    </row>
    <row r="9" spans="2:37">
      <c r="B9" s="160" t="s">
        <v>131</v>
      </c>
      <c r="C9" s="161"/>
      <c r="D9" s="162">
        <f>D552+D616+D680</f>
        <v>256195</v>
      </c>
      <c r="E9" s="163">
        <f t="shared" si="0"/>
        <v>0.13</v>
      </c>
      <c r="F9" s="162">
        <f>F552+F616+F680</f>
        <v>263732</v>
      </c>
      <c r="G9" s="164">
        <f t="shared" si="1"/>
        <v>0.08</v>
      </c>
      <c r="H9" s="163">
        <f t="shared" si="2"/>
        <v>0.03</v>
      </c>
      <c r="I9" s="162">
        <f>J552+J616+J680</f>
        <v>266917</v>
      </c>
      <c r="J9" s="164">
        <f t="shared" si="3"/>
        <v>0.1</v>
      </c>
      <c r="K9" s="826">
        <f t="shared" si="4"/>
        <v>0.01</v>
      </c>
      <c r="L9" s="827"/>
      <c r="M9" s="165"/>
      <c r="N9" s="165"/>
      <c r="O9" s="157"/>
      <c r="P9" s="158"/>
      <c r="Q9" s="158"/>
      <c r="R9" s="158"/>
      <c r="T9" s="2"/>
      <c r="U9" s="159"/>
      <c r="V9" s="159"/>
      <c r="W9" s="159"/>
      <c r="X9" s="2"/>
      <c r="Y9" s="2"/>
      <c r="Z9" s="2"/>
      <c r="AA9" s="2"/>
      <c r="AB9" s="2"/>
      <c r="AC9" s="2"/>
      <c r="AD9" s="2"/>
      <c r="AE9" s="2"/>
      <c r="AF9" s="2"/>
    </row>
    <row r="10" spans="2:37">
      <c r="B10" s="152" t="s">
        <v>12</v>
      </c>
      <c r="C10" s="153"/>
      <c r="D10" s="166">
        <f>D744</f>
        <v>397475</v>
      </c>
      <c r="E10" s="155">
        <f t="shared" si="0"/>
        <v>0.2</v>
      </c>
      <c r="F10" s="166">
        <f>F744</f>
        <v>693565</v>
      </c>
      <c r="G10" s="156">
        <f t="shared" si="1"/>
        <v>0.21</v>
      </c>
      <c r="H10" s="155">
        <f t="shared" si="2"/>
        <v>0.74</v>
      </c>
      <c r="I10" s="166">
        <f>J744</f>
        <v>624676</v>
      </c>
      <c r="J10" s="156">
        <f t="shared" si="3"/>
        <v>0.22</v>
      </c>
      <c r="K10" s="843">
        <f t="shared" si="4"/>
        <v>-0.1</v>
      </c>
      <c r="L10" s="844"/>
      <c r="M10" s="165"/>
      <c r="N10" s="165"/>
      <c r="O10" s="157"/>
      <c r="P10" s="158"/>
      <c r="Q10" s="158"/>
      <c r="R10" s="158"/>
      <c r="T10" s="2"/>
      <c r="U10" s="159"/>
      <c r="V10" s="159"/>
      <c r="W10" s="159"/>
      <c r="X10" s="2"/>
      <c r="Y10" s="2"/>
      <c r="Z10" s="2"/>
      <c r="AA10" s="2"/>
      <c r="AB10" s="2"/>
      <c r="AC10" s="2"/>
      <c r="AD10" s="2"/>
      <c r="AE10" s="2"/>
      <c r="AF10" s="2"/>
    </row>
    <row r="11" spans="2:37">
      <c r="B11" s="160" t="s">
        <v>13</v>
      </c>
      <c r="C11" s="161"/>
      <c r="D11" s="162">
        <f>D808</f>
        <v>54953</v>
      </c>
      <c r="E11" s="163">
        <f t="shared" si="0"/>
        <v>0.03</v>
      </c>
      <c r="F11" s="162">
        <f>F808</f>
        <v>58431</v>
      </c>
      <c r="G11" s="164">
        <f t="shared" si="1"/>
        <v>0.02</v>
      </c>
      <c r="H11" s="163">
        <f t="shared" si="2"/>
        <v>0.06</v>
      </c>
      <c r="I11" s="162">
        <f>J808</f>
        <v>191507</v>
      </c>
      <c r="J11" s="164">
        <f t="shared" si="3"/>
        <v>7.0000000000000007E-2</v>
      </c>
      <c r="K11" s="826">
        <f t="shared" si="4"/>
        <v>2.2799999999999998</v>
      </c>
      <c r="L11" s="827"/>
      <c r="M11" s="165"/>
      <c r="N11" s="165"/>
      <c r="O11" s="157"/>
      <c r="P11" s="158"/>
      <c r="Q11" s="158"/>
      <c r="R11" s="158"/>
      <c r="T11" s="2"/>
      <c r="U11" s="159"/>
      <c r="V11" s="159"/>
      <c r="W11" s="159"/>
      <c r="X11" s="167"/>
      <c r="Y11" s="167"/>
      <c r="Z11" s="167"/>
      <c r="AA11" s="2"/>
      <c r="AB11" s="2"/>
      <c r="AC11" s="2"/>
      <c r="AD11" s="2"/>
      <c r="AE11" s="2"/>
      <c r="AF11" s="2"/>
    </row>
    <row r="12" spans="2:37">
      <c r="B12" s="152" t="s">
        <v>14</v>
      </c>
      <c r="C12" s="153"/>
      <c r="D12" s="166">
        <f>D936</f>
        <v>122157</v>
      </c>
      <c r="E12" s="155">
        <f t="shared" si="0"/>
        <v>0.06</v>
      </c>
      <c r="F12" s="166">
        <f>F936</f>
        <v>133439</v>
      </c>
      <c r="G12" s="156">
        <f t="shared" si="1"/>
        <v>0.04</v>
      </c>
      <c r="H12" s="155">
        <f t="shared" si="2"/>
        <v>0.09</v>
      </c>
      <c r="I12" s="166">
        <f>J936</f>
        <v>129500</v>
      </c>
      <c r="J12" s="156">
        <f t="shared" si="3"/>
        <v>0.05</v>
      </c>
      <c r="K12" s="843">
        <f t="shared" si="4"/>
        <v>-0.03</v>
      </c>
      <c r="L12" s="844"/>
      <c r="M12" s="2"/>
      <c r="N12" s="2"/>
      <c r="O12" s="157"/>
      <c r="P12" s="158"/>
      <c r="Q12" s="158"/>
      <c r="R12" s="158"/>
      <c r="T12" s="2"/>
      <c r="U12" s="159"/>
      <c r="V12" s="159"/>
      <c r="W12" s="159"/>
      <c r="X12" s="168"/>
      <c r="Y12" s="168"/>
      <c r="Z12" s="168"/>
      <c r="AA12" s="2"/>
      <c r="AB12" s="2"/>
      <c r="AC12" s="2"/>
      <c r="AD12" s="2"/>
      <c r="AE12" s="2"/>
      <c r="AF12" s="2"/>
    </row>
    <row r="13" spans="2:37">
      <c r="B13" s="160" t="s">
        <v>15</v>
      </c>
      <c r="C13" s="161"/>
      <c r="D13" s="162">
        <f>D1065</f>
        <v>39926</v>
      </c>
      <c r="E13" s="163">
        <f t="shared" si="0"/>
        <v>0.02</v>
      </c>
      <c r="F13" s="162">
        <f>F1065</f>
        <v>0</v>
      </c>
      <c r="G13" s="164">
        <f t="shared" si="1"/>
        <v>0</v>
      </c>
      <c r="H13" s="163">
        <f t="shared" si="2"/>
        <v>-1</v>
      </c>
      <c r="I13" s="162">
        <f>J1065</f>
        <v>25000</v>
      </c>
      <c r="J13" s="164">
        <f t="shared" si="3"/>
        <v>0.01</v>
      </c>
      <c r="K13" s="826">
        <f t="shared" si="4"/>
        <v>0</v>
      </c>
      <c r="L13" s="827"/>
      <c r="M13" s="2"/>
      <c r="N13" s="2"/>
      <c r="O13" s="157"/>
      <c r="P13" s="158"/>
      <c r="Q13" s="158"/>
      <c r="R13" s="158"/>
      <c r="T13" s="2"/>
      <c r="U13" s="159"/>
      <c r="V13" s="159"/>
      <c r="W13" s="159"/>
      <c r="X13" s="168"/>
      <c r="Y13" s="168"/>
      <c r="Z13" s="168"/>
      <c r="AA13" s="2"/>
      <c r="AB13" s="2"/>
      <c r="AC13" s="2"/>
      <c r="AD13" s="2"/>
      <c r="AE13" s="2"/>
      <c r="AF13" s="2"/>
    </row>
    <row r="14" spans="2:37">
      <c r="B14" s="152" t="s">
        <v>16</v>
      </c>
      <c r="C14" s="153"/>
      <c r="D14" s="166">
        <f>D1129</f>
        <v>153725</v>
      </c>
      <c r="E14" s="155">
        <f t="shared" si="0"/>
        <v>0.08</v>
      </c>
      <c r="F14" s="166">
        <f>F1129</f>
        <v>154900</v>
      </c>
      <c r="G14" s="156">
        <f t="shared" si="1"/>
        <v>0.05</v>
      </c>
      <c r="H14" s="155">
        <f t="shared" si="2"/>
        <v>0.01</v>
      </c>
      <c r="I14" s="166">
        <f>J1129</f>
        <v>154900</v>
      </c>
      <c r="J14" s="156">
        <f t="shared" si="3"/>
        <v>0.06</v>
      </c>
      <c r="K14" s="843">
        <f t="shared" si="4"/>
        <v>0</v>
      </c>
      <c r="L14" s="844"/>
      <c r="M14" s="2"/>
      <c r="N14" s="2"/>
      <c r="O14" s="157"/>
      <c r="P14" s="158"/>
      <c r="Q14" s="158"/>
      <c r="R14" s="158"/>
      <c r="T14" s="2"/>
      <c r="U14" s="159"/>
      <c r="V14" s="159"/>
      <c r="W14" s="159"/>
      <c r="X14" s="168"/>
      <c r="Y14" s="168"/>
      <c r="Z14" s="168"/>
      <c r="AA14" s="2"/>
      <c r="AB14" s="2"/>
      <c r="AC14" s="2"/>
      <c r="AD14" s="2"/>
      <c r="AE14" s="2"/>
      <c r="AF14" s="2"/>
    </row>
    <row r="15" spans="2:37" ht="15" thickBot="1">
      <c r="B15" s="169" t="s">
        <v>17</v>
      </c>
      <c r="C15" s="170"/>
      <c r="D15" s="171">
        <f>D1000+D872</f>
        <v>7174</v>
      </c>
      <c r="E15" s="172">
        <f>IF(OR(D$16=0,D15=0),0,IF(D15/D$16&lt;0.001,"&lt;1%",D15/D$16))</f>
        <v>0</v>
      </c>
      <c r="F15" s="171">
        <f>F1000+F872</f>
        <v>219</v>
      </c>
      <c r="G15" s="172" t="str">
        <f>IF(OR(F$16=0,F15=0),0,IF(F15/F$16&lt;0.001,"&lt;1%",F15/F$16))</f>
        <v>&lt;1%</v>
      </c>
      <c r="H15" s="173">
        <f t="shared" si="2"/>
        <v>-0.97</v>
      </c>
      <c r="I15" s="171">
        <f>J1000+J872</f>
        <v>0</v>
      </c>
      <c r="J15" s="172">
        <f>IF(OR(I$16=0,I15=0),0,IF(I15/I$16&lt;0.001,"&lt;1%",I15/I$16))</f>
        <v>0</v>
      </c>
      <c r="K15" s="853">
        <f t="shared" si="4"/>
        <v>-1</v>
      </c>
      <c r="L15" s="854"/>
      <c r="M15" s="2"/>
      <c r="N15" s="2"/>
      <c r="O15" s="157"/>
      <c r="P15" s="158"/>
      <c r="Q15" s="158"/>
      <c r="R15" s="158"/>
      <c r="T15" s="2"/>
      <c r="U15" s="159"/>
      <c r="V15" s="159"/>
      <c r="W15" s="159"/>
      <c r="X15" s="168"/>
      <c r="Y15" s="168"/>
      <c r="Z15" s="168"/>
      <c r="AA15" s="2"/>
      <c r="AB15" s="2"/>
      <c r="AC15" s="2"/>
      <c r="AD15" s="2"/>
      <c r="AE15" s="2"/>
      <c r="AF15" s="2"/>
    </row>
    <row r="16" spans="2:37" ht="17.25" thickTop="1">
      <c r="B16" s="174" t="s">
        <v>172</v>
      </c>
      <c r="C16" s="175"/>
      <c r="D16" s="176">
        <f>SUM(D6:D15)</f>
        <v>1973611</v>
      </c>
      <c r="E16" s="177">
        <f>SUM(D6/D16,D7/D16,D8/D16,D9/D16,D10/D16,D11/D16,D12/D16,D13/D16,D14/D16,D15/D16)</f>
        <v>1</v>
      </c>
      <c r="F16" s="178">
        <f>SUM(F6:F15)</f>
        <v>3273490</v>
      </c>
      <c r="G16" s="177">
        <f>SUM(F6/F16,F7/F16,F8/F16,F9/F16,F10/F16,F11/F16,F12/F16,F13/F16,F14/F16,F15/F16)</f>
        <v>1</v>
      </c>
      <c r="H16" s="177">
        <f t="shared" si="2"/>
        <v>0.66</v>
      </c>
      <c r="I16" s="178">
        <f>SUM(I6:I15)</f>
        <v>2805404</v>
      </c>
      <c r="J16" s="177">
        <f>SUM(I6/I16,I7/I16,I8/I16,I9/I16,I10/I16,I11/I16,I12/I16,I13/I16,I14/I16,I15/I16)</f>
        <v>1</v>
      </c>
      <c r="K16" s="837">
        <f t="shared" si="4"/>
        <v>-0.14000000000000001</v>
      </c>
      <c r="L16" s="838"/>
      <c r="M16" s="2"/>
      <c r="N16" s="2"/>
      <c r="O16" s="179"/>
      <c r="P16" s="180"/>
      <c r="Q16" s="181"/>
      <c r="R16" s="181"/>
      <c r="S16" s="2"/>
      <c r="T16" s="2"/>
      <c r="U16" s="2"/>
      <c r="V16" s="2"/>
      <c r="W16" s="167"/>
      <c r="X16" s="168"/>
      <c r="Y16" s="168"/>
      <c r="Z16" s="168"/>
      <c r="AA16" s="2"/>
      <c r="AB16" s="2"/>
      <c r="AC16" s="2"/>
      <c r="AD16" s="2"/>
      <c r="AE16" s="2"/>
      <c r="AF16" s="2"/>
    </row>
    <row r="17" spans="2:37" ht="18" customHeight="1" thickBot="1">
      <c r="B17" s="182" t="s">
        <v>19</v>
      </c>
      <c r="C17" s="182"/>
      <c r="D17" s="183">
        <f>D16/G1312</f>
        <v>27915</v>
      </c>
      <c r="E17" s="184"/>
      <c r="F17" s="183">
        <f>F16/I1312</f>
        <v>39679</v>
      </c>
      <c r="G17" s="184"/>
      <c r="H17" s="185">
        <f t="shared" si="2"/>
        <v>0.42</v>
      </c>
      <c r="I17" s="183">
        <f>IF(K1312=0,0,(I16/K1312))</f>
        <v>40077</v>
      </c>
      <c r="J17" s="184"/>
      <c r="K17" s="839">
        <f t="shared" si="4"/>
        <v>0.01</v>
      </c>
      <c r="L17" s="840"/>
      <c r="M17" s="2"/>
      <c r="N17" s="2"/>
      <c r="O17" s="2"/>
      <c r="P17" s="2"/>
      <c r="Q17" s="2"/>
      <c r="R17" s="2"/>
      <c r="S17" s="2"/>
      <c r="T17" s="2"/>
      <c r="Z17" s="2"/>
      <c r="AA17" s="2"/>
      <c r="AB17" s="2"/>
      <c r="AC17" s="165"/>
      <c r="AD17" s="165"/>
      <c r="AE17" s="165"/>
      <c r="AF17" s="2"/>
      <c r="AG17" s="2"/>
      <c r="AH17" s="2"/>
      <c r="AI17" s="2"/>
      <c r="AJ17" s="2"/>
      <c r="AK17" s="2"/>
    </row>
    <row r="18" spans="2:37" ht="15">
      <c r="B18" s="174" t="s">
        <v>173</v>
      </c>
      <c r="C18" s="186"/>
      <c r="D18" s="178">
        <f>D16-[1]C016!$C$44-[1]C062!$C$51-[1]C063!$C$51</f>
        <v>1627534</v>
      </c>
      <c r="E18" s="177">
        <f>IF(D18=0,0,D18/D18)</f>
        <v>1</v>
      </c>
      <c r="F18" s="178">
        <f>F16-[1]C016!$D$44-[1]C062!$D$51-[1]C063!$D$51</f>
        <v>2632493</v>
      </c>
      <c r="G18" s="177">
        <f>IF(F18=0,0,F18/F18)</f>
        <v>1</v>
      </c>
      <c r="H18" s="177">
        <f t="shared" si="2"/>
        <v>0.62</v>
      </c>
      <c r="I18" s="178">
        <f>I16-[1]C016!$E$44-[1]C062!$E$51-[1]C063!$E$51</f>
        <v>2333490</v>
      </c>
      <c r="J18" s="177">
        <f>IF(I18=0,0,I18/I18)</f>
        <v>1</v>
      </c>
      <c r="K18" s="837">
        <f t="shared" si="4"/>
        <v>-0.11</v>
      </c>
      <c r="L18" s="838"/>
      <c r="M18" s="2"/>
      <c r="N18" s="2"/>
      <c r="S18" s="2"/>
      <c r="T18" s="2"/>
      <c r="Z18" s="2"/>
      <c r="AA18" s="2"/>
      <c r="AB18" s="2"/>
      <c r="AC18" s="2"/>
      <c r="AD18" s="2"/>
      <c r="AE18" s="2"/>
      <c r="AF18" s="2"/>
      <c r="AG18" s="2"/>
      <c r="AH18" s="2"/>
      <c r="AI18" s="2"/>
      <c r="AJ18" s="2"/>
      <c r="AK18" s="2"/>
    </row>
    <row r="19" spans="2:37">
      <c r="B19" s="187" t="s">
        <v>19</v>
      </c>
      <c r="C19" s="188"/>
      <c r="D19" s="189">
        <f>D18/G1312</f>
        <v>23020</v>
      </c>
      <c r="E19" s="190"/>
      <c r="F19" s="191">
        <f>F18/I1312</f>
        <v>31909</v>
      </c>
      <c r="G19" s="190"/>
      <c r="H19" s="192">
        <f t="shared" si="2"/>
        <v>0.39</v>
      </c>
      <c r="I19" s="189">
        <f>IF(K1312=0,0,I18/K1312)</f>
        <v>33336</v>
      </c>
      <c r="J19" s="190"/>
      <c r="K19" s="841">
        <f t="shared" si="4"/>
        <v>0.04</v>
      </c>
      <c r="L19" s="842"/>
      <c r="M19" s="2"/>
      <c r="N19" s="2"/>
      <c r="S19" s="2"/>
      <c r="T19" s="2"/>
      <c r="Z19" s="2"/>
      <c r="AA19" s="2"/>
      <c r="AB19" s="2"/>
      <c r="AC19" s="2"/>
      <c r="AD19" s="2"/>
      <c r="AE19" s="2"/>
      <c r="AF19" s="2"/>
      <c r="AG19" s="2"/>
      <c r="AH19" s="2"/>
      <c r="AI19" s="2"/>
      <c r="AJ19" s="2"/>
      <c r="AK19" s="2"/>
    </row>
    <row r="20" spans="2:37" ht="18">
      <c r="B20" s="855" t="s">
        <v>174</v>
      </c>
      <c r="C20" s="855"/>
      <c r="D20" s="855"/>
      <c r="E20" s="855"/>
      <c r="F20" s="855"/>
      <c r="G20" s="855"/>
      <c r="H20" s="855"/>
      <c r="I20" s="855"/>
      <c r="J20" s="855"/>
      <c r="K20" s="855"/>
      <c r="L20" s="855"/>
      <c r="M20" s="2"/>
      <c r="N20" s="2"/>
      <c r="S20" s="2"/>
      <c r="T20" s="2"/>
      <c r="Z20" s="2"/>
      <c r="AA20" s="2"/>
      <c r="AB20" s="2"/>
      <c r="AC20" s="2"/>
      <c r="AD20" s="2"/>
      <c r="AE20" s="2"/>
      <c r="AF20" s="2"/>
      <c r="AG20" s="2"/>
      <c r="AH20" s="2"/>
      <c r="AI20" s="2"/>
      <c r="AJ20" s="2"/>
      <c r="AK20" s="2"/>
    </row>
    <row r="21" spans="2:37">
      <c r="B21" s="193" t="s">
        <v>23</v>
      </c>
      <c r="C21" s="194"/>
      <c r="D21" s="195">
        <f>D6-SUM([1]C016!$C$60:$C$62)</f>
        <v>925646</v>
      </c>
      <c r="E21" s="196">
        <f>IF(D16=0,0,ROUND(D21/D16,2))</f>
        <v>0.47</v>
      </c>
      <c r="F21" s="195">
        <f>F6-SUM([1]C016!$D$60:$D$62)</f>
        <v>1968697</v>
      </c>
      <c r="G21" s="196">
        <f>IF(F16=0,0,ROUND(F21/F16,2))</f>
        <v>0.6</v>
      </c>
      <c r="H21" s="196">
        <f>G21-E21</f>
        <v>0.13</v>
      </c>
      <c r="I21" s="195">
        <f>I6-SUM([1]C016!$E$60:$E$62)</f>
        <v>1402804</v>
      </c>
      <c r="J21" s="196">
        <f>IF(I16=0,0,ROUND(I21/I16,2))</f>
        <v>0.5</v>
      </c>
      <c r="K21" s="843">
        <f>J21-G21</f>
        <v>-0.1</v>
      </c>
      <c r="L21" s="844"/>
      <c r="M21" s="2"/>
      <c r="N21" s="2"/>
      <c r="S21" s="2"/>
      <c r="T21" s="2"/>
      <c r="Z21" s="2"/>
      <c r="AA21" s="2"/>
      <c r="AB21" s="2"/>
      <c r="AC21" s="2"/>
      <c r="AD21" s="2"/>
      <c r="AE21" s="2"/>
      <c r="AF21" s="2"/>
      <c r="AG21" s="2"/>
      <c r="AH21" s="2"/>
      <c r="AI21" s="2"/>
      <c r="AJ21" s="2"/>
      <c r="AK21" s="2"/>
    </row>
    <row r="22" spans="2:37">
      <c r="B22" s="197" t="s">
        <v>158</v>
      </c>
      <c r="C22" s="198"/>
      <c r="D22" s="199">
        <f>D21</f>
        <v>925646</v>
      </c>
      <c r="E22" s="200">
        <f>IF(D18=0,0,ROUND(D22/D18,2))</f>
        <v>0.56999999999999995</v>
      </c>
      <c r="F22" s="199">
        <f>F21</f>
        <v>1968697</v>
      </c>
      <c r="G22" s="200">
        <f>IF(F18=0,0,ROUND(F22/F18,2))</f>
        <v>0.75</v>
      </c>
      <c r="H22" s="200">
        <f>G22-E22</f>
        <v>0.18</v>
      </c>
      <c r="I22" s="199">
        <f>I21</f>
        <v>1402804</v>
      </c>
      <c r="J22" s="200">
        <f>IF(I18=0,0,ROUND(I22/I18,2))</f>
        <v>0.6</v>
      </c>
      <c r="K22" s="826">
        <f>J22-G22</f>
        <v>-0.15</v>
      </c>
      <c r="L22" s="827"/>
      <c r="M22" s="2"/>
      <c r="N22" s="2"/>
      <c r="S22" s="2"/>
      <c r="T22" s="2"/>
      <c r="Z22" s="2"/>
      <c r="AA22" s="2"/>
      <c r="AB22" s="2"/>
      <c r="AC22" s="2"/>
      <c r="AD22" s="2"/>
      <c r="AE22" s="2"/>
      <c r="AF22" s="2"/>
      <c r="AG22" s="2"/>
      <c r="AH22" s="2"/>
      <c r="AI22" s="2"/>
      <c r="AJ22" s="2"/>
      <c r="AK22" s="2"/>
    </row>
    <row r="23" spans="2:37" ht="6.75" customHeight="1">
      <c r="B23" s="2"/>
      <c r="C23" s="2"/>
      <c r="D23" s="165"/>
      <c r="E23" s="201"/>
      <c r="F23" s="165"/>
      <c r="G23" s="201"/>
      <c r="H23" s="201"/>
      <c r="I23" s="165"/>
      <c r="J23" s="201"/>
      <c r="K23" s="201"/>
      <c r="L23" s="2"/>
      <c r="M23" s="2"/>
      <c r="N23" s="2"/>
      <c r="S23" s="2"/>
      <c r="T23" s="2"/>
      <c r="Z23" s="2"/>
      <c r="AA23" s="2"/>
      <c r="AB23" s="2"/>
      <c r="AC23" s="2"/>
      <c r="AD23" s="2"/>
      <c r="AE23" s="2"/>
      <c r="AF23" s="2"/>
      <c r="AG23" s="2"/>
      <c r="AH23" s="2"/>
      <c r="AI23" s="2"/>
      <c r="AJ23" s="2"/>
      <c r="AK23" s="2"/>
    </row>
    <row r="24" spans="2:37" ht="95.45" customHeight="1">
      <c r="B24" s="828" t="s">
        <v>276</v>
      </c>
      <c r="C24" s="828"/>
      <c r="D24" s="828"/>
      <c r="E24" s="828"/>
      <c r="F24" s="828"/>
      <c r="G24" s="828"/>
      <c r="H24" s="828"/>
      <c r="I24" s="828"/>
      <c r="J24" s="828"/>
      <c r="K24" s="828"/>
      <c r="L24" s="828"/>
      <c r="M24" s="2"/>
      <c r="N24" s="2"/>
      <c r="S24" s="2"/>
      <c r="T24" s="2"/>
      <c r="U24" s="2"/>
      <c r="V24" s="2"/>
      <c r="W24" s="2"/>
      <c r="X24" s="2"/>
      <c r="Y24" s="165"/>
      <c r="Z24" s="2"/>
      <c r="AA24" s="2"/>
      <c r="AB24" s="2"/>
      <c r="AC24" s="2"/>
      <c r="AD24" s="2"/>
      <c r="AE24" s="2"/>
      <c r="AF24" s="2"/>
      <c r="AG24" s="2"/>
      <c r="AH24" s="2"/>
      <c r="AI24" s="2"/>
      <c r="AJ24" s="2"/>
      <c r="AK24" s="2"/>
    </row>
    <row r="25" spans="2:37" s="544" customFormat="1" ht="15" customHeight="1">
      <c r="B25" s="846" t="s">
        <v>278</v>
      </c>
      <c r="C25" s="846"/>
      <c r="D25" s="846"/>
      <c r="E25" s="846"/>
      <c r="F25" s="846"/>
      <c r="G25" s="846"/>
      <c r="H25" s="846"/>
      <c r="I25" s="846"/>
      <c r="J25" s="846"/>
      <c r="K25" s="846"/>
      <c r="L25" s="640"/>
      <c r="M25" s="157"/>
      <c r="N25" s="157"/>
      <c r="S25" s="157"/>
      <c r="T25" s="157"/>
      <c r="U25" s="157"/>
      <c r="V25" s="157"/>
      <c r="W25" s="157"/>
      <c r="X25" s="157"/>
      <c r="Y25" s="545"/>
      <c r="Z25" s="157"/>
      <c r="AA25" s="157"/>
      <c r="AB25" s="157"/>
      <c r="AC25" s="157"/>
      <c r="AD25" s="157"/>
      <c r="AE25" s="157"/>
      <c r="AF25" s="157"/>
      <c r="AG25" s="157"/>
      <c r="AH25" s="157"/>
      <c r="AI25" s="157"/>
      <c r="AJ25" s="157"/>
      <c r="AK25" s="157"/>
    </row>
    <row r="26" spans="2:37" ht="22.5" customHeight="1">
      <c r="B26" s="845" t="s">
        <v>175</v>
      </c>
      <c r="C26" s="845"/>
      <c r="D26" s="845"/>
      <c r="E26" s="845"/>
      <c r="F26" s="845"/>
      <c r="G26" s="845"/>
      <c r="H26" s="845"/>
      <c r="I26" s="845"/>
      <c r="J26" s="845"/>
      <c r="K26" s="845"/>
      <c r="L26" s="641"/>
      <c r="M26" s="2"/>
      <c r="N26" s="2"/>
      <c r="S26" s="2"/>
      <c r="T26" s="2"/>
      <c r="U26" s="2"/>
      <c r="V26" s="2"/>
      <c r="W26" s="2"/>
      <c r="X26" s="2"/>
      <c r="Y26" s="165"/>
      <c r="Z26" s="2"/>
      <c r="AA26" s="2"/>
      <c r="AB26" s="2"/>
      <c r="AC26" s="2"/>
      <c r="AD26" s="2"/>
      <c r="AE26" s="2"/>
      <c r="AF26" s="2"/>
      <c r="AG26" s="2"/>
      <c r="AH26" s="2"/>
      <c r="AI26" s="2"/>
      <c r="AJ26" s="2"/>
      <c r="AK26" s="2"/>
    </row>
    <row r="27" spans="2:37" s="544" customFormat="1" ht="52.5" customHeight="1">
      <c r="B27" s="835" t="s">
        <v>279</v>
      </c>
      <c r="C27" s="836"/>
      <c r="D27" s="836"/>
      <c r="E27" s="836"/>
      <c r="F27" s="836"/>
      <c r="G27" s="836"/>
      <c r="H27" s="836"/>
      <c r="I27" s="836"/>
      <c r="J27" s="836"/>
      <c r="K27" s="836"/>
      <c r="L27" s="836"/>
      <c r="M27" s="157"/>
      <c r="N27" s="157"/>
      <c r="S27" s="157"/>
      <c r="T27" s="157"/>
      <c r="U27" s="157"/>
      <c r="V27" s="157"/>
      <c r="W27" s="157"/>
      <c r="X27" s="157"/>
      <c r="Y27" s="545"/>
      <c r="Z27" s="157"/>
      <c r="AA27" s="157"/>
      <c r="AB27" s="157"/>
      <c r="AC27" s="157"/>
      <c r="AD27" s="157"/>
      <c r="AE27" s="157"/>
      <c r="AF27" s="157"/>
      <c r="AG27" s="157"/>
      <c r="AH27" s="157"/>
      <c r="AI27" s="157"/>
      <c r="AJ27" s="157"/>
      <c r="AK27" s="157"/>
    </row>
    <row r="28" spans="2:37">
      <c r="L28" s="2"/>
      <c r="M28" s="2"/>
      <c r="N28" s="2"/>
      <c r="S28" s="2"/>
      <c r="T28" s="2"/>
      <c r="U28" s="2"/>
      <c r="V28" s="2"/>
      <c r="W28" s="2"/>
      <c r="X28" s="2"/>
      <c r="Y28" s="165"/>
      <c r="Z28" s="2"/>
      <c r="AA28" s="2"/>
      <c r="AB28" s="2"/>
      <c r="AC28" s="2"/>
      <c r="AD28" s="2"/>
      <c r="AE28" s="2"/>
      <c r="AF28" s="2"/>
      <c r="AG28" s="2"/>
      <c r="AH28" s="2"/>
      <c r="AI28" s="2"/>
      <c r="AJ28" s="2"/>
      <c r="AK28" s="2"/>
    </row>
    <row r="29" spans="2:37">
      <c r="B29" s="202"/>
      <c r="C29" s="203"/>
      <c r="D29" s="203"/>
      <c r="E29" s="203"/>
      <c r="F29" s="203"/>
      <c r="G29" s="203"/>
      <c r="H29" s="203"/>
      <c r="I29" s="203"/>
      <c r="J29" s="203"/>
      <c r="K29" s="203"/>
      <c r="L29" s="2"/>
      <c r="M29" s="2"/>
      <c r="N29" s="2"/>
      <c r="O29" s="2" t="s">
        <v>7</v>
      </c>
      <c r="P29" s="2"/>
      <c r="Q29" s="2"/>
      <c r="S29" s="2"/>
      <c r="T29" s="2"/>
      <c r="U29" s="2"/>
      <c r="V29" s="2"/>
      <c r="W29" s="2"/>
      <c r="X29" s="2"/>
      <c r="Y29" s="165"/>
      <c r="Z29" s="2"/>
      <c r="AA29" s="2"/>
      <c r="AB29" s="2"/>
      <c r="AC29" s="2"/>
      <c r="AD29" s="2"/>
      <c r="AE29" s="2"/>
      <c r="AF29" s="2"/>
      <c r="AG29" s="2"/>
      <c r="AH29" s="2"/>
      <c r="AI29" s="2"/>
      <c r="AJ29" s="2"/>
      <c r="AK29" s="2"/>
    </row>
    <row r="30" spans="2:37">
      <c r="C30" s="203"/>
      <c r="D30" s="203"/>
      <c r="E30" s="203"/>
      <c r="F30" s="203"/>
      <c r="G30" s="203"/>
      <c r="H30" s="203"/>
      <c r="I30" s="203"/>
      <c r="J30" s="203"/>
      <c r="K30" s="203"/>
      <c r="L30" s="2"/>
      <c r="M30" s="2"/>
      <c r="N30" s="2"/>
      <c r="O30" s="2" t="s">
        <v>9</v>
      </c>
      <c r="P30" s="2"/>
      <c r="Q30" s="2"/>
      <c r="S30" s="2"/>
      <c r="T30" s="2"/>
      <c r="U30" s="2"/>
      <c r="V30" s="2"/>
      <c r="W30" s="2"/>
      <c r="X30" s="2"/>
      <c r="Y30" s="165"/>
      <c r="Z30" s="2"/>
      <c r="AA30" s="2"/>
      <c r="AB30" s="2"/>
      <c r="AC30" s="2"/>
      <c r="AD30" s="2"/>
      <c r="AE30" s="2"/>
      <c r="AF30" s="2"/>
      <c r="AG30" s="2"/>
      <c r="AH30" s="2"/>
      <c r="AI30" s="2"/>
      <c r="AJ30" s="2"/>
      <c r="AK30" s="2"/>
    </row>
    <row r="31" spans="2:37">
      <c r="B31" s="204"/>
      <c r="C31" s="205"/>
      <c r="D31" s="205"/>
      <c r="E31" s="205"/>
      <c r="F31" s="206"/>
      <c r="G31" s="205"/>
      <c r="H31" s="206"/>
      <c r="I31" s="205"/>
      <c r="J31" s="205"/>
      <c r="K31" s="205"/>
      <c r="L31" s="2"/>
      <c r="M31" s="2"/>
      <c r="N31" s="2"/>
      <c r="O31" s="2"/>
      <c r="P31" s="82" t="str">
        <f>D4</f>
        <v>2023-2024</v>
      </c>
      <c r="Q31" s="82" t="str">
        <f>F4</f>
        <v>2024-2025</v>
      </c>
      <c r="R31" s="82" t="str">
        <f>I4</f>
        <v>2025-2026</v>
      </c>
      <c r="S31" s="2"/>
      <c r="T31" s="2"/>
      <c r="U31" s="2"/>
      <c r="V31" s="2"/>
      <c r="W31" s="2"/>
      <c r="X31" s="2"/>
      <c r="Y31" s="165"/>
      <c r="Z31" s="2"/>
      <c r="AA31" s="2"/>
      <c r="AB31" s="2"/>
      <c r="AC31" s="2"/>
      <c r="AD31" s="2"/>
      <c r="AE31" s="2"/>
      <c r="AF31" s="2"/>
      <c r="AG31" s="2"/>
      <c r="AH31" s="2"/>
      <c r="AI31" s="2"/>
      <c r="AJ31" s="2"/>
      <c r="AK31" s="2"/>
    </row>
    <row r="32" spans="2:37">
      <c r="B32" s="205"/>
      <c r="C32" s="205"/>
      <c r="D32" s="205"/>
      <c r="E32" s="205"/>
      <c r="F32" s="206"/>
      <c r="G32" s="205"/>
      <c r="H32" s="206"/>
      <c r="I32" s="205"/>
      <c r="J32" s="205"/>
      <c r="K32" s="205"/>
      <c r="L32" s="2"/>
      <c r="M32" s="2"/>
      <c r="N32" s="2"/>
      <c r="O32" s="140" t="str">
        <f t="shared" ref="O32:O41" si="5">IF(AND($D6&lt;=0,$F6&lt;=0,$I6&lt;=0),"",$B6)</f>
        <v>Instruction</v>
      </c>
      <c r="P32" s="207">
        <f t="shared" ref="P32:P41" si="6">IF(AND($D6&lt;=0,$F6&lt;=0,$I6&lt;=0),#N/A,IF($D6&lt;=0,0,$D6))</f>
        <v>938685</v>
      </c>
      <c r="Q32" s="207">
        <f t="shared" ref="Q32:Q41" si="7">IF(AND($D6&lt;=0,$F6&lt;=0,$I6&lt;=0),#N/A,IF($F6&lt;=0,0,$F6))</f>
        <v>1968697</v>
      </c>
      <c r="R32" s="207">
        <f t="shared" ref="R32:R41" si="8">IF(AND($D6&lt;=0,$F6&lt;=0,$I6&lt;=0),#N/A,IF($I6&lt;=0,0,$I6))</f>
        <v>1412804</v>
      </c>
      <c r="S32" s="2"/>
      <c r="T32" s="2"/>
      <c r="U32" s="2"/>
      <c r="V32" s="2"/>
      <c r="W32" s="2"/>
      <c r="X32" s="2"/>
      <c r="Y32" s="165"/>
      <c r="Z32" s="2"/>
      <c r="AA32" s="2"/>
      <c r="AB32" s="2"/>
      <c r="AC32" s="2"/>
      <c r="AD32" s="2"/>
      <c r="AE32" s="2"/>
      <c r="AF32" s="2"/>
      <c r="AG32" s="2"/>
      <c r="AH32" s="2"/>
      <c r="AI32" s="2"/>
      <c r="AJ32" s="2"/>
      <c r="AK32" s="2"/>
    </row>
    <row r="33" spans="2:37">
      <c r="B33" s="208"/>
      <c r="C33" s="208"/>
      <c r="D33" s="208"/>
      <c r="E33" s="208"/>
      <c r="F33" s="209"/>
      <c r="G33" s="208"/>
      <c r="H33" s="209"/>
      <c r="I33" s="208"/>
      <c r="J33" s="208"/>
      <c r="K33" s="208"/>
      <c r="L33" s="2"/>
      <c r="M33" s="2"/>
      <c r="N33" s="2"/>
      <c r="O33" s="140" t="str">
        <f t="shared" si="5"/>
        <v>Student Support Services</v>
      </c>
      <c r="P33" s="207">
        <f t="shared" si="6"/>
        <v>2063</v>
      </c>
      <c r="Q33" s="207">
        <f t="shared" si="7"/>
        <v>267</v>
      </c>
      <c r="R33" s="207">
        <f t="shared" si="8"/>
        <v>0</v>
      </c>
      <c r="S33" s="2"/>
      <c r="T33" s="2"/>
      <c r="U33" s="2"/>
      <c r="V33" s="2"/>
      <c r="W33" s="2"/>
      <c r="X33" s="2"/>
      <c r="Y33" s="165"/>
      <c r="Z33" s="2"/>
      <c r="AA33" s="2"/>
      <c r="AB33" s="2"/>
      <c r="AC33" s="2"/>
      <c r="AD33" s="2"/>
      <c r="AE33" s="2"/>
      <c r="AF33" s="2"/>
      <c r="AG33" s="2"/>
      <c r="AH33" s="2"/>
      <c r="AI33" s="2"/>
      <c r="AJ33" s="2"/>
      <c r="AK33" s="2"/>
    </row>
    <row r="34" spans="2:37">
      <c r="B34" s="208"/>
      <c r="C34" s="208"/>
      <c r="D34" s="208"/>
      <c r="E34" s="208"/>
      <c r="F34" s="209"/>
      <c r="G34" s="208"/>
      <c r="H34" s="208"/>
      <c r="I34" s="208"/>
      <c r="J34" s="208"/>
      <c r="K34" s="208"/>
      <c r="L34" s="2"/>
      <c r="M34" s="2"/>
      <c r="N34" s="2"/>
      <c r="O34" s="140" t="str">
        <f t="shared" si="5"/>
        <v>Instructional Support Services</v>
      </c>
      <c r="P34" s="207">
        <f t="shared" si="6"/>
        <v>1258</v>
      </c>
      <c r="Q34" s="207">
        <f t="shared" si="7"/>
        <v>240</v>
      </c>
      <c r="R34" s="207">
        <f t="shared" si="8"/>
        <v>100</v>
      </c>
      <c r="S34" s="2"/>
      <c r="T34" s="2"/>
      <c r="U34" s="2"/>
      <c r="V34" s="2"/>
      <c r="W34" s="2"/>
      <c r="X34" s="2"/>
      <c r="Y34" s="2"/>
      <c r="Z34" s="2"/>
      <c r="AA34" s="2"/>
      <c r="AB34" s="2"/>
      <c r="AC34" s="2"/>
      <c r="AD34" s="2"/>
      <c r="AE34" s="2"/>
      <c r="AF34" s="2"/>
      <c r="AG34" s="2"/>
      <c r="AH34" s="2"/>
      <c r="AI34" s="2"/>
      <c r="AJ34" s="2"/>
      <c r="AK34" s="2"/>
    </row>
    <row r="35" spans="2:37">
      <c r="C35" s="2"/>
      <c r="D35" s="2"/>
      <c r="E35" s="2"/>
      <c r="G35" s="2"/>
      <c r="H35" s="2"/>
      <c r="I35" s="2"/>
      <c r="J35" s="2"/>
      <c r="K35" s="2"/>
      <c r="L35" s="2"/>
      <c r="M35" s="2"/>
      <c r="N35" s="2"/>
      <c r="O35" s="140" t="str">
        <f t="shared" si="5"/>
        <v>Administration &amp; Support</v>
      </c>
      <c r="P35" s="207">
        <f t="shared" si="6"/>
        <v>256195</v>
      </c>
      <c r="Q35" s="207">
        <f t="shared" si="7"/>
        <v>263732</v>
      </c>
      <c r="R35" s="207">
        <f t="shared" si="8"/>
        <v>266917</v>
      </c>
      <c r="S35" s="2"/>
      <c r="T35" s="2"/>
      <c r="U35" s="2"/>
      <c r="V35" s="2"/>
      <c r="W35" s="2"/>
      <c r="X35" s="2"/>
      <c r="Y35" s="2"/>
      <c r="Z35" s="2"/>
      <c r="AA35" s="2"/>
      <c r="AB35" s="2"/>
      <c r="AC35" s="2"/>
      <c r="AD35" s="2"/>
      <c r="AE35" s="2"/>
      <c r="AF35" s="2"/>
      <c r="AG35" s="2"/>
      <c r="AH35" s="2"/>
      <c r="AI35" s="2"/>
      <c r="AJ35" s="2"/>
      <c r="AK35" s="2"/>
    </row>
    <row r="36" spans="2:37">
      <c r="B36" s="2"/>
      <c r="C36" s="2"/>
      <c r="D36" s="2"/>
      <c r="E36" s="2"/>
      <c r="G36" s="2"/>
      <c r="H36" s="2"/>
      <c r="I36" s="2"/>
      <c r="J36" s="2"/>
      <c r="K36" s="2"/>
      <c r="L36" s="2"/>
      <c r="M36" s="2"/>
      <c r="N36" s="2"/>
      <c r="O36" s="140" t="str">
        <f t="shared" si="5"/>
        <v>Operations &amp; Maintenance</v>
      </c>
      <c r="P36" s="207">
        <f t="shared" si="6"/>
        <v>397475</v>
      </c>
      <c r="Q36" s="207">
        <f t="shared" si="7"/>
        <v>693565</v>
      </c>
      <c r="R36" s="207">
        <f t="shared" si="8"/>
        <v>624676</v>
      </c>
      <c r="S36" s="2"/>
      <c r="T36" s="2"/>
      <c r="U36" s="2"/>
      <c r="V36" s="2"/>
      <c r="W36" s="2"/>
      <c r="X36" s="2"/>
      <c r="Y36" s="2"/>
      <c r="Z36" s="2"/>
      <c r="AA36" s="2"/>
      <c r="AB36" s="2"/>
      <c r="AC36" s="2"/>
      <c r="AD36" s="2"/>
      <c r="AE36" s="2"/>
      <c r="AF36" s="2"/>
      <c r="AG36" s="2"/>
      <c r="AH36" s="2"/>
      <c r="AI36" s="2"/>
      <c r="AJ36" s="2"/>
      <c r="AK36" s="2"/>
    </row>
    <row r="37" spans="2:37">
      <c r="B37" s="2"/>
      <c r="C37" s="2"/>
      <c r="D37" s="2"/>
      <c r="E37" s="2"/>
      <c r="F37" s="2"/>
      <c r="G37" s="2"/>
      <c r="H37" s="2"/>
      <c r="I37" s="2"/>
      <c r="J37" s="2"/>
      <c r="K37" s="2"/>
      <c r="L37" s="2"/>
      <c r="M37" s="2"/>
      <c r="N37" s="2"/>
      <c r="O37" s="140" t="str">
        <f t="shared" si="5"/>
        <v>Transportation</v>
      </c>
      <c r="P37" s="207">
        <f t="shared" si="6"/>
        <v>54953</v>
      </c>
      <c r="Q37" s="207">
        <f t="shared" si="7"/>
        <v>58431</v>
      </c>
      <c r="R37" s="207">
        <f t="shared" si="8"/>
        <v>191507</v>
      </c>
      <c r="S37" s="2"/>
      <c r="T37" s="2"/>
      <c r="U37" s="2"/>
      <c r="V37" s="2"/>
      <c r="W37" s="2"/>
      <c r="X37" s="2"/>
      <c r="Y37" s="2"/>
      <c r="Z37" s="2"/>
      <c r="AA37" s="2"/>
      <c r="AB37" s="2"/>
      <c r="AC37" s="2"/>
      <c r="AD37" s="2"/>
      <c r="AE37" s="2"/>
      <c r="AF37" s="2"/>
      <c r="AG37" s="2"/>
      <c r="AH37" s="2"/>
      <c r="AI37" s="2"/>
      <c r="AJ37" s="2"/>
      <c r="AK37" s="2"/>
    </row>
    <row r="38" spans="2:37">
      <c r="B38" s="2"/>
      <c r="C38" s="2"/>
      <c r="D38" s="2"/>
      <c r="E38" s="2"/>
      <c r="F38" s="2"/>
      <c r="G38" s="2"/>
      <c r="H38" s="2"/>
      <c r="I38" s="2"/>
      <c r="J38" s="2"/>
      <c r="K38" s="2"/>
      <c r="L38" s="2"/>
      <c r="M38" s="2"/>
      <c r="N38" s="2"/>
      <c r="O38" s="140" t="str">
        <f t="shared" si="5"/>
        <v>Food Services</v>
      </c>
      <c r="P38" s="207">
        <f t="shared" si="6"/>
        <v>122157</v>
      </c>
      <c r="Q38" s="207">
        <f t="shared" si="7"/>
        <v>133439</v>
      </c>
      <c r="R38" s="207">
        <f t="shared" si="8"/>
        <v>129500</v>
      </c>
      <c r="V38" s="2"/>
      <c r="W38" s="2"/>
      <c r="X38" s="2"/>
      <c r="Y38" s="2"/>
      <c r="Z38" s="2"/>
      <c r="AA38" s="2"/>
      <c r="AB38" s="2"/>
      <c r="AC38" s="2"/>
      <c r="AD38" s="2"/>
      <c r="AE38" s="2"/>
      <c r="AF38" s="2"/>
      <c r="AG38" s="2"/>
      <c r="AH38" s="2"/>
      <c r="AI38" s="2"/>
      <c r="AJ38" s="2"/>
      <c r="AK38" s="2"/>
    </row>
    <row r="39" spans="2:37">
      <c r="B39" s="2"/>
      <c r="C39" s="2"/>
      <c r="D39" s="2"/>
      <c r="E39" s="2"/>
      <c r="F39" s="2"/>
      <c r="G39" s="2"/>
      <c r="H39" s="2"/>
      <c r="I39" s="2"/>
      <c r="J39" s="2"/>
      <c r="K39" s="2"/>
      <c r="L39" s="2"/>
      <c r="M39" s="2"/>
      <c r="N39" s="2"/>
      <c r="O39" s="140" t="str">
        <f t="shared" si="5"/>
        <v>Capital Improvements</v>
      </c>
      <c r="P39" s="207">
        <f t="shared" si="6"/>
        <v>39926</v>
      </c>
      <c r="Q39" s="207">
        <f t="shared" si="7"/>
        <v>0</v>
      </c>
      <c r="R39" s="207">
        <f t="shared" si="8"/>
        <v>25000</v>
      </c>
      <c r="V39" s="2"/>
      <c r="W39" s="2"/>
      <c r="X39" s="2"/>
      <c r="Y39" s="2"/>
      <c r="Z39" s="2"/>
      <c r="AA39" s="2"/>
      <c r="AB39" s="2"/>
      <c r="AC39" s="2"/>
      <c r="AD39" s="2"/>
      <c r="AE39" s="2"/>
      <c r="AF39" s="2"/>
      <c r="AG39" s="2"/>
      <c r="AH39" s="2"/>
      <c r="AI39" s="2"/>
      <c r="AJ39" s="2"/>
      <c r="AK39" s="2"/>
    </row>
    <row r="40" spans="2:37">
      <c r="B40" s="2"/>
      <c r="C40" s="2"/>
      <c r="D40" s="2"/>
      <c r="E40" s="2"/>
      <c r="F40" s="2"/>
      <c r="G40" s="2"/>
      <c r="H40" s="2"/>
      <c r="I40" s="2"/>
      <c r="J40" s="2"/>
      <c r="K40" s="2"/>
      <c r="L40" s="2"/>
      <c r="M40" s="2"/>
      <c r="N40" s="2"/>
      <c r="O40" s="140" t="str">
        <f t="shared" si="5"/>
        <v>Debt Services</v>
      </c>
      <c r="P40" s="207">
        <f t="shared" si="6"/>
        <v>153725</v>
      </c>
      <c r="Q40" s="207">
        <f t="shared" si="7"/>
        <v>154900</v>
      </c>
      <c r="R40" s="207">
        <f t="shared" si="8"/>
        <v>154900</v>
      </c>
      <c r="V40" s="2"/>
      <c r="W40" s="2"/>
      <c r="X40" s="2"/>
      <c r="Y40" s="2"/>
      <c r="Z40" s="2"/>
      <c r="AA40" s="2"/>
      <c r="AB40" s="2"/>
      <c r="AC40" s="2"/>
      <c r="AD40" s="2"/>
      <c r="AE40" s="2"/>
      <c r="AF40" s="2"/>
      <c r="AG40" s="2"/>
      <c r="AH40" s="2"/>
      <c r="AI40" s="2"/>
      <c r="AJ40" s="2"/>
      <c r="AK40" s="2"/>
    </row>
    <row r="41" spans="2:37">
      <c r="B41" s="2"/>
      <c r="C41" s="2"/>
      <c r="D41" s="2"/>
      <c r="E41" s="2"/>
      <c r="F41" s="2"/>
      <c r="G41" s="2"/>
      <c r="H41" s="2"/>
      <c r="I41" s="2"/>
      <c r="J41" s="2"/>
      <c r="K41" s="2"/>
      <c r="L41" s="2"/>
      <c r="M41" s="2"/>
      <c r="N41" s="2"/>
      <c r="O41" s="140" t="str">
        <f t="shared" si="5"/>
        <v>Other Costs</v>
      </c>
      <c r="P41" s="207">
        <f t="shared" si="6"/>
        <v>7174</v>
      </c>
      <c r="Q41" s="207">
        <f t="shared" si="7"/>
        <v>219</v>
      </c>
      <c r="R41" s="207">
        <f t="shared" si="8"/>
        <v>0</v>
      </c>
      <c r="V41" s="2"/>
      <c r="W41" s="2"/>
      <c r="X41" s="2"/>
      <c r="Y41" s="2"/>
      <c r="Z41" s="2"/>
      <c r="AA41" s="2"/>
      <c r="AB41" s="2"/>
      <c r="AC41" s="2"/>
      <c r="AD41" s="2"/>
      <c r="AE41" s="2"/>
      <c r="AF41" s="2"/>
      <c r="AG41" s="2"/>
      <c r="AH41" s="2"/>
      <c r="AI41" s="2"/>
      <c r="AJ41" s="2"/>
      <c r="AK41" s="2"/>
    </row>
    <row r="42" spans="2:37">
      <c r="B42" s="2"/>
      <c r="C42" s="2"/>
      <c r="D42" s="2"/>
      <c r="E42" s="2"/>
      <c r="F42" s="2"/>
      <c r="G42" s="2"/>
      <c r="H42" s="2"/>
      <c r="I42" s="2"/>
      <c r="J42" s="2"/>
      <c r="K42" s="2"/>
      <c r="L42" s="2"/>
      <c r="M42" s="2"/>
      <c r="N42" s="2"/>
      <c r="V42" s="2"/>
      <c r="W42" s="2"/>
      <c r="X42" s="2"/>
      <c r="Y42" s="2"/>
      <c r="Z42" s="2"/>
      <c r="AA42" s="2"/>
      <c r="AB42" s="2"/>
      <c r="AC42" s="2"/>
      <c r="AD42" s="2"/>
      <c r="AE42" s="2"/>
      <c r="AF42" s="2"/>
      <c r="AG42" s="2"/>
      <c r="AH42" s="2"/>
      <c r="AI42" s="2"/>
      <c r="AJ42" s="2"/>
      <c r="AK42" s="2"/>
    </row>
    <row r="43" spans="2:37">
      <c r="B43" s="2"/>
      <c r="C43" s="2"/>
      <c r="D43" s="2"/>
      <c r="E43" s="2"/>
      <c r="F43" s="2"/>
      <c r="G43" s="2"/>
      <c r="H43" s="2"/>
      <c r="I43" s="2"/>
      <c r="J43" s="2"/>
      <c r="K43" s="2"/>
      <c r="L43" s="2"/>
      <c r="M43" s="2"/>
      <c r="N43" s="2"/>
      <c r="V43" s="2"/>
      <c r="W43" s="2"/>
      <c r="X43" s="2"/>
      <c r="Y43" s="2"/>
      <c r="Z43" s="2"/>
      <c r="AA43" s="2"/>
      <c r="AB43" s="2"/>
      <c r="AC43" s="2"/>
      <c r="AD43" s="2"/>
      <c r="AE43" s="2"/>
      <c r="AF43" s="2"/>
      <c r="AG43" s="2"/>
      <c r="AH43" s="2"/>
      <c r="AI43" s="2"/>
      <c r="AJ43" s="2"/>
      <c r="AK43" s="2"/>
    </row>
    <row r="44" spans="2:37">
      <c r="B44" s="2"/>
      <c r="C44" s="2"/>
      <c r="D44" s="2"/>
      <c r="E44" s="2"/>
      <c r="F44" s="2"/>
      <c r="G44" s="2"/>
      <c r="H44" s="2"/>
      <c r="I44" s="2"/>
      <c r="J44" s="2"/>
      <c r="K44" s="2"/>
      <c r="L44" s="2"/>
      <c r="M44" s="2"/>
      <c r="N44" s="2"/>
      <c r="V44" s="2"/>
      <c r="W44" s="2"/>
      <c r="X44" s="2"/>
      <c r="Y44" s="2"/>
      <c r="Z44" s="2"/>
      <c r="AA44" s="2"/>
      <c r="AB44" s="2"/>
      <c r="AC44" s="2"/>
      <c r="AD44" s="2"/>
      <c r="AE44" s="2"/>
      <c r="AF44" s="2"/>
      <c r="AG44" s="2"/>
      <c r="AH44" s="2"/>
      <c r="AI44" s="2"/>
      <c r="AJ44" s="2"/>
      <c r="AK44" s="2"/>
    </row>
    <row r="45" spans="2:37">
      <c r="B45" s="2"/>
      <c r="C45" s="2"/>
      <c r="D45" s="2"/>
      <c r="E45" s="2"/>
      <c r="F45" s="2"/>
      <c r="G45" s="2"/>
      <c r="H45" s="2"/>
      <c r="I45" s="2"/>
      <c r="J45" s="2"/>
      <c r="K45" s="2"/>
      <c r="L45" s="2"/>
      <c r="M45" s="2"/>
      <c r="N45" s="2"/>
      <c r="V45" s="2"/>
      <c r="W45" s="2"/>
      <c r="X45" s="2"/>
      <c r="Y45" s="2"/>
      <c r="Z45" s="2"/>
      <c r="AA45" s="2"/>
      <c r="AB45" s="2"/>
      <c r="AC45" s="2"/>
      <c r="AD45" s="2"/>
      <c r="AE45" s="2"/>
      <c r="AF45" s="2"/>
      <c r="AG45" s="2"/>
      <c r="AH45" s="2"/>
      <c r="AI45" s="2"/>
      <c r="AJ45" s="2"/>
      <c r="AK45" s="2"/>
    </row>
    <row r="46" spans="2:37">
      <c r="B46" s="2"/>
      <c r="C46" s="2"/>
      <c r="D46" s="2"/>
      <c r="E46" s="2"/>
      <c r="F46" s="2"/>
      <c r="G46" s="2"/>
      <c r="H46" s="2"/>
      <c r="I46" s="2"/>
      <c r="J46" s="2"/>
      <c r="K46" s="2"/>
      <c r="L46" s="2"/>
      <c r="M46" s="2"/>
      <c r="N46" s="2"/>
      <c r="V46" s="2"/>
      <c r="W46" s="2"/>
      <c r="X46" s="2"/>
      <c r="Y46" s="2"/>
      <c r="Z46" s="2"/>
      <c r="AA46" s="2"/>
      <c r="AB46" s="2"/>
      <c r="AC46" s="2"/>
      <c r="AD46" s="2"/>
      <c r="AE46" s="2"/>
      <c r="AF46" s="2"/>
      <c r="AG46" s="2"/>
      <c r="AH46" s="2"/>
      <c r="AI46" s="2"/>
      <c r="AJ46" s="2"/>
      <c r="AK46" s="2"/>
    </row>
    <row r="47" spans="2:37">
      <c r="B47" s="2"/>
      <c r="C47" s="2"/>
      <c r="D47" s="2"/>
      <c r="E47" s="2"/>
      <c r="F47" s="2"/>
      <c r="G47" s="2"/>
      <c r="H47" s="2"/>
      <c r="I47" s="2"/>
      <c r="J47" s="2"/>
      <c r="K47" s="2"/>
      <c r="L47" s="2"/>
      <c r="M47" s="2"/>
      <c r="N47" s="2"/>
      <c r="O47" s="2" t="s">
        <v>18</v>
      </c>
      <c r="P47" s="2"/>
      <c r="Q47" s="2"/>
      <c r="V47" s="2"/>
      <c r="W47" s="2"/>
      <c r="X47" s="2"/>
      <c r="Y47" s="2"/>
      <c r="Z47" s="2"/>
      <c r="AA47" s="2"/>
      <c r="AB47" s="2"/>
      <c r="AC47" s="2"/>
      <c r="AD47" s="2"/>
      <c r="AE47" s="2"/>
      <c r="AF47" s="2"/>
      <c r="AG47" s="2"/>
      <c r="AH47" s="2"/>
      <c r="AI47" s="2"/>
      <c r="AJ47" s="2"/>
      <c r="AK47" s="2"/>
    </row>
    <row r="48" spans="2:37">
      <c r="B48" s="2"/>
      <c r="C48" s="2"/>
      <c r="D48" s="2"/>
      <c r="E48" s="2"/>
      <c r="F48" s="2"/>
      <c r="G48" s="2"/>
      <c r="H48" s="2"/>
      <c r="I48" s="2"/>
      <c r="J48" s="2"/>
      <c r="K48" s="2"/>
      <c r="L48" s="2"/>
      <c r="M48" s="2"/>
      <c r="N48" s="2"/>
      <c r="O48" s="2" t="s">
        <v>9</v>
      </c>
      <c r="P48" s="2"/>
      <c r="Q48" s="2"/>
      <c r="V48" s="2"/>
      <c r="W48" s="2"/>
      <c r="X48" s="2"/>
      <c r="Y48" s="2"/>
      <c r="Z48" s="2"/>
      <c r="AA48" s="2"/>
      <c r="AB48" s="2"/>
      <c r="AC48" s="2"/>
      <c r="AD48" s="2"/>
      <c r="AE48" s="2"/>
      <c r="AF48" s="2"/>
      <c r="AG48" s="2"/>
      <c r="AH48" s="2"/>
      <c r="AI48" s="2"/>
      <c r="AJ48" s="2"/>
      <c r="AK48" s="2"/>
    </row>
    <row r="49" spans="2:37">
      <c r="B49" s="2"/>
      <c r="C49" s="2"/>
      <c r="D49" s="2"/>
      <c r="E49" s="2"/>
      <c r="F49" s="2"/>
      <c r="G49" s="2"/>
      <c r="H49" s="2"/>
      <c r="I49" s="2"/>
      <c r="J49" s="2"/>
      <c r="K49" s="2"/>
      <c r="L49" s="2"/>
      <c r="M49" s="2"/>
      <c r="N49" s="2"/>
      <c r="O49" s="2"/>
      <c r="P49" s="82" t="str">
        <f>I4</f>
        <v>2025-2026</v>
      </c>
      <c r="Q49" s="2"/>
      <c r="S49" s="2"/>
      <c r="T49" s="2"/>
      <c r="U49" s="2"/>
      <c r="V49" s="2"/>
      <c r="W49" s="2"/>
      <c r="X49" s="2"/>
      <c r="Y49" s="2"/>
      <c r="Z49" s="2"/>
      <c r="AA49" s="2"/>
      <c r="AB49" s="2"/>
      <c r="AC49" s="2"/>
      <c r="AD49" s="2"/>
      <c r="AE49" s="2"/>
      <c r="AF49" s="2"/>
      <c r="AG49" s="2"/>
      <c r="AH49" s="2"/>
      <c r="AI49" s="2"/>
      <c r="AJ49" s="2"/>
      <c r="AK49" s="2"/>
    </row>
    <row r="50" spans="2:37">
      <c r="B50" s="2"/>
      <c r="C50" s="2"/>
      <c r="D50" s="2"/>
      <c r="E50" s="2"/>
      <c r="F50" s="2"/>
      <c r="G50" s="2"/>
      <c r="H50" s="2"/>
      <c r="I50" s="2"/>
      <c r="J50" s="2"/>
      <c r="K50" s="2"/>
      <c r="L50" s="2"/>
      <c r="M50" s="2"/>
      <c r="N50" s="2"/>
      <c r="O50" s="140" t="str">
        <f t="shared" ref="O50:O58" si="9">$B6&amp;": "&amp;IFERROR(IF(I6/$I$16&gt;=0.01,P50*100,IF(AND(I6/$I$16&lt;0.01,I6/$I$16&gt;0),LEFT(J6,2),0)),0)&amp;"%"</f>
        <v>Instruction: 50%</v>
      </c>
      <c r="P50" s="210">
        <f t="shared" ref="P50:P58" si="10">IF(I6/$I$16&lt;0.01,#N/A,$J6)</f>
        <v>0.5</v>
      </c>
      <c r="Q50" s="140" t="str">
        <f>LEFT(O50,(FIND(":",O50)-1))</f>
        <v>Instruction</v>
      </c>
      <c r="S50" s="2"/>
      <c r="T50" s="2"/>
      <c r="U50" s="2"/>
      <c r="V50" s="2"/>
      <c r="W50" s="2"/>
      <c r="X50" s="2"/>
      <c r="Y50" s="2"/>
      <c r="Z50" s="2"/>
      <c r="AA50" s="2"/>
      <c r="AB50" s="2"/>
      <c r="AC50" s="2"/>
      <c r="AD50" s="2"/>
      <c r="AE50" s="2"/>
      <c r="AF50" s="2"/>
      <c r="AG50" s="2"/>
      <c r="AH50" s="2"/>
      <c r="AI50" s="2"/>
      <c r="AJ50" s="2"/>
      <c r="AK50" s="2"/>
    </row>
    <row r="51" spans="2:37">
      <c r="B51" s="2"/>
      <c r="C51" s="2"/>
      <c r="D51" s="2"/>
      <c r="E51" s="2"/>
      <c r="F51" s="2"/>
      <c r="G51" s="2"/>
      <c r="H51" s="2"/>
      <c r="I51" s="2"/>
      <c r="J51" s="2"/>
      <c r="K51" s="2"/>
      <c r="L51" s="2"/>
      <c r="M51" s="2"/>
      <c r="N51" s="2"/>
      <c r="O51" s="140" t="str">
        <f t="shared" si="9"/>
        <v>Student Support Services: 0%</v>
      </c>
      <c r="P51" s="210" t="e">
        <f t="shared" si="10"/>
        <v>#N/A</v>
      </c>
      <c r="Q51" s="140" t="str">
        <f t="shared" ref="Q51:Q59" si="11">LEFT(O51,(FIND(":",O51)-1))</f>
        <v>Student Support Services</v>
      </c>
      <c r="S51" s="2"/>
      <c r="T51" s="2"/>
      <c r="U51" s="2"/>
      <c r="V51" s="2"/>
      <c r="W51" s="2"/>
      <c r="X51" s="2"/>
      <c r="Y51" s="2"/>
      <c r="Z51" s="2"/>
      <c r="AA51" s="2"/>
      <c r="AB51" s="2"/>
      <c r="AC51" s="2"/>
      <c r="AD51" s="2"/>
      <c r="AE51" s="2"/>
      <c r="AF51" s="2"/>
      <c r="AG51" s="2"/>
      <c r="AH51" s="2"/>
      <c r="AI51" s="2"/>
      <c r="AJ51" s="2"/>
      <c r="AK51" s="2"/>
    </row>
    <row r="52" spans="2:37">
      <c r="B52" s="2"/>
      <c r="C52" s="2"/>
      <c r="D52" s="2"/>
      <c r="E52" s="2"/>
      <c r="F52" s="2"/>
      <c r="G52" s="2"/>
      <c r="H52" s="2"/>
      <c r="I52" s="2"/>
      <c r="J52" s="2"/>
      <c r="K52" s="2"/>
      <c r="L52" s="2"/>
      <c r="M52" s="2"/>
      <c r="N52" s="2"/>
      <c r="O52" s="140" t="str">
        <f t="shared" si="9"/>
        <v>Instructional Support Services: &lt;1%</v>
      </c>
      <c r="P52" s="210" t="e">
        <f t="shared" si="10"/>
        <v>#N/A</v>
      </c>
      <c r="Q52" s="140" t="str">
        <f t="shared" si="11"/>
        <v>Instructional Support Services</v>
      </c>
      <c r="S52" s="2"/>
      <c r="T52" s="2"/>
      <c r="U52" s="2"/>
      <c r="V52" s="2"/>
      <c r="W52" s="2"/>
      <c r="X52" s="2"/>
      <c r="Y52" s="2"/>
      <c r="Z52" s="2"/>
      <c r="AA52" s="2"/>
      <c r="AB52" s="2"/>
      <c r="AC52" s="2"/>
      <c r="AD52" s="2"/>
      <c r="AE52" s="2"/>
      <c r="AF52" s="2"/>
      <c r="AG52" s="2"/>
      <c r="AH52" s="2"/>
      <c r="AI52" s="2"/>
      <c r="AJ52" s="2"/>
      <c r="AK52" s="2"/>
    </row>
    <row r="53" spans="2:37">
      <c r="B53" s="2"/>
      <c r="C53" s="2"/>
      <c r="D53" s="2"/>
      <c r="E53" s="2"/>
      <c r="F53" s="2"/>
      <c r="G53" s="2"/>
      <c r="H53" s="2"/>
      <c r="I53" s="2"/>
      <c r="J53" s="2"/>
      <c r="K53" s="2"/>
      <c r="L53" s="2"/>
      <c r="M53" s="2"/>
      <c r="N53" s="2"/>
      <c r="O53" s="140" t="str">
        <f t="shared" si="9"/>
        <v>Administration &amp; Support: 10%</v>
      </c>
      <c r="P53" s="210">
        <f t="shared" si="10"/>
        <v>0.1</v>
      </c>
      <c r="Q53" s="140" t="str">
        <f t="shared" si="11"/>
        <v>Administration &amp; Support</v>
      </c>
      <c r="S53" s="2"/>
      <c r="T53" s="2"/>
      <c r="U53" s="2"/>
      <c r="V53" s="2"/>
      <c r="W53" s="2"/>
      <c r="X53" s="2"/>
      <c r="Y53" s="2"/>
      <c r="Z53" s="2"/>
      <c r="AA53" s="2"/>
      <c r="AB53" s="2"/>
      <c r="AC53" s="2"/>
      <c r="AD53" s="2"/>
      <c r="AE53" s="2"/>
      <c r="AF53" s="2"/>
      <c r="AG53" s="2"/>
      <c r="AH53" s="2"/>
      <c r="AI53" s="2"/>
      <c r="AJ53" s="2"/>
      <c r="AK53" s="2"/>
    </row>
    <row r="54" spans="2:37">
      <c r="B54" s="2"/>
      <c r="C54" s="2"/>
      <c r="D54" s="2"/>
      <c r="E54" s="2"/>
      <c r="F54" s="2"/>
      <c r="G54" s="2"/>
      <c r="H54" s="2"/>
      <c r="I54" s="2"/>
      <c r="J54" s="2"/>
      <c r="K54" s="2"/>
      <c r="L54" s="2"/>
      <c r="M54" s="2"/>
      <c r="N54" s="2"/>
      <c r="O54" s="140" t="str">
        <f t="shared" si="9"/>
        <v>Operations &amp; Maintenance: 22%</v>
      </c>
      <c r="P54" s="210">
        <f t="shared" si="10"/>
        <v>0.22</v>
      </c>
      <c r="Q54" s="140" t="str">
        <f t="shared" si="11"/>
        <v>Operations &amp; Maintenance</v>
      </c>
      <c r="T54" s="2"/>
      <c r="U54" s="2"/>
      <c r="V54" s="2"/>
      <c r="W54" s="2"/>
      <c r="X54" s="2"/>
      <c r="Y54" s="2"/>
      <c r="Z54" s="2"/>
      <c r="AA54" s="2"/>
      <c r="AB54" s="2"/>
      <c r="AC54" s="2"/>
      <c r="AD54" s="2"/>
      <c r="AE54" s="2"/>
      <c r="AF54" s="2"/>
      <c r="AG54" s="2"/>
      <c r="AH54" s="2"/>
      <c r="AI54" s="2"/>
      <c r="AJ54" s="2"/>
      <c r="AK54" s="2"/>
    </row>
    <row r="55" spans="2:37">
      <c r="B55" s="2"/>
      <c r="C55" s="2"/>
      <c r="D55" s="2"/>
      <c r="E55" s="2"/>
      <c r="F55" s="2"/>
      <c r="G55" s="2"/>
      <c r="H55" s="2"/>
      <c r="I55" s="2"/>
      <c r="J55" s="2"/>
      <c r="K55" s="2"/>
      <c r="L55" s="2"/>
      <c r="M55" s="2"/>
      <c r="N55" s="2"/>
      <c r="O55" s="140" t="str">
        <f t="shared" si="9"/>
        <v>Transportation: 7%</v>
      </c>
      <c r="P55" s="210">
        <f t="shared" si="10"/>
        <v>7.0000000000000007E-2</v>
      </c>
      <c r="Q55" s="140" t="str">
        <f t="shared" si="11"/>
        <v>Transportation</v>
      </c>
      <c r="T55" s="2"/>
      <c r="U55" s="2"/>
      <c r="V55" s="2"/>
      <c r="W55" s="2"/>
      <c r="X55" s="2"/>
      <c r="Y55" s="2"/>
      <c r="Z55" s="2"/>
      <c r="AA55" s="2"/>
      <c r="AB55" s="2"/>
      <c r="AC55" s="2"/>
      <c r="AD55" s="2"/>
      <c r="AE55" s="2"/>
      <c r="AF55" s="2"/>
      <c r="AG55" s="2"/>
      <c r="AH55" s="2"/>
      <c r="AI55" s="2"/>
      <c r="AJ55" s="2"/>
      <c r="AK55" s="2"/>
    </row>
    <row r="56" spans="2:37">
      <c r="B56" s="2"/>
      <c r="C56" s="2"/>
      <c r="D56" s="2"/>
      <c r="E56" s="2"/>
      <c r="F56" s="2"/>
      <c r="G56" s="2"/>
      <c r="H56" s="2"/>
      <c r="I56" s="2"/>
      <c r="J56" s="2"/>
      <c r="K56" s="2"/>
      <c r="L56" s="2"/>
      <c r="M56" s="2"/>
      <c r="N56" s="2"/>
      <c r="O56" s="140" t="str">
        <f t="shared" si="9"/>
        <v>Food Services: 5%</v>
      </c>
      <c r="P56" s="210">
        <f t="shared" si="10"/>
        <v>0.05</v>
      </c>
      <c r="Q56" s="140" t="str">
        <f t="shared" si="11"/>
        <v>Food Services</v>
      </c>
      <c r="T56" s="2"/>
      <c r="U56" s="2"/>
      <c r="V56" s="2"/>
      <c r="W56" s="2"/>
      <c r="X56" s="2"/>
      <c r="Y56" s="2"/>
      <c r="Z56" s="2"/>
      <c r="AA56" s="2"/>
      <c r="AB56" s="2"/>
      <c r="AC56" s="2"/>
      <c r="AD56" s="2"/>
      <c r="AE56" s="2"/>
      <c r="AF56" s="2"/>
      <c r="AG56" s="2"/>
      <c r="AH56" s="2"/>
      <c r="AI56" s="2"/>
      <c r="AJ56" s="2"/>
      <c r="AK56" s="2"/>
    </row>
    <row r="57" spans="2:37">
      <c r="B57" s="2"/>
      <c r="C57" s="2"/>
      <c r="D57" s="2"/>
      <c r="E57" s="2"/>
      <c r="F57" s="2"/>
      <c r="G57" s="2"/>
      <c r="H57" s="2"/>
      <c r="I57" s="2"/>
      <c r="J57" s="2"/>
      <c r="K57" s="2"/>
      <c r="L57" s="2"/>
      <c r="M57" s="2"/>
      <c r="N57" s="2"/>
      <c r="O57" s="140" t="str">
        <f t="shared" si="9"/>
        <v>Capital Improvements: 0.%</v>
      </c>
      <c r="P57" s="210" t="e">
        <f t="shared" si="10"/>
        <v>#N/A</v>
      </c>
      <c r="Q57" s="140" t="str">
        <f t="shared" si="11"/>
        <v>Capital Improvements</v>
      </c>
      <c r="T57" s="2"/>
      <c r="U57" s="2"/>
      <c r="V57" s="2"/>
      <c r="W57" s="2"/>
      <c r="X57" s="2"/>
      <c r="Y57" s="2"/>
      <c r="Z57" s="2"/>
      <c r="AA57" s="2"/>
      <c r="AB57" s="2"/>
      <c r="AC57" s="2"/>
      <c r="AD57" s="2"/>
      <c r="AE57" s="2"/>
      <c r="AF57" s="2"/>
      <c r="AG57" s="2"/>
      <c r="AH57" s="2"/>
      <c r="AI57" s="2"/>
      <c r="AJ57" s="2"/>
      <c r="AK57" s="2"/>
    </row>
    <row r="58" spans="2:37">
      <c r="B58" s="2"/>
      <c r="C58" s="2"/>
      <c r="D58" s="2"/>
      <c r="E58" s="2"/>
      <c r="F58" s="2"/>
      <c r="G58" s="2"/>
      <c r="H58" s="2"/>
      <c r="I58" s="2"/>
      <c r="J58" s="2"/>
      <c r="K58" s="2"/>
      <c r="L58" s="2"/>
      <c r="M58" s="2"/>
      <c r="N58" s="2"/>
      <c r="O58" s="140" t="str">
        <f t="shared" si="9"/>
        <v>Debt Services: 6%</v>
      </c>
      <c r="P58" s="210">
        <f t="shared" si="10"/>
        <v>0.06</v>
      </c>
      <c r="Q58" s="140" t="str">
        <f t="shared" si="11"/>
        <v>Debt Services</v>
      </c>
      <c r="T58" s="2"/>
      <c r="U58" s="2"/>
      <c r="V58" s="2"/>
      <c r="W58" s="2"/>
      <c r="X58" s="2"/>
      <c r="Y58" s="2"/>
      <c r="Z58" s="2"/>
      <c r="AA58" s="2"/>
      <c r="AB58" s="2"/>
      <c r="AC58" s="2"/>
      <c r="AD58" s="2"/>
      <c r="AE58" s="2"/>
      <c r="AF58" s="2"/>
      <c r="AG58" s="2"/>
      <c r="AH58" s="2"/>
      <c r="AI58" s="2"/>
      <c r="AJ58" s="2"/>
      <c r="AK58" s="2"/>
    </row>
    <row r="59" spans="2:37">
      <c r="B59" s="2"/>
      <c r="C59" s="2"/>
      <c r="D59" s="2"/>
      <c r="E59" s="2"/>
      <c r="F59" s="2"/>
      <c r="G59" s="2"/>
      <c r="H59" s="2"/>
      <c r="I59" s="2"/>
      <c r="J59" s="2"/>
      <c r="K59" s="2"/>
      <c r="L59" s="2"/>
      <c r="M59" s="2"/>
      <c r="N59" s="2"/>
      <c r="O59" s="140" t="str">
        <f>$B15&amp;": "&amp;IFERROR(IF(I15/$I$16&gt;=0.01,P59*100,IF(AND(I15/$I$16&lt;0.01,I15/$I$16&gt;0),LEFT(J15,2),0)),0)&amp;"%"</f>
        <v>Other Costs: 0%</v>
      </c>
      <c r="P59" s="210" t="e">
        <f>IF(I15/$I$16&lt;0.01,#N/A,$J15)</f>
        <v>#N/A</v>
      </c>
      <c r="Q59" s="140" t="str">
        <f t="shared" si="11"/>
        <v>Other Costs</v>
      </c>
      <c r="T59" s="2"/>
      <c r="U59" s="2"/>
      <c r="V59" s="2"/>
      <c r="W59" s="2"/>
      <c r="X59" s="2"/>
      <c r="Y59" s="2"/>
      <c r="Z59" s="2"/>
      <c r="AA59" s="2"/>
      <c r="AB59" s="2"/>
      <c r="AC59" s="2"/>
      <c r="AD59" s="2"/>
      <c r="AE59" s="2"/>
      <c r="AF59" s="2"/>
      <c r="AG59" s="2"/>
      <c r="AH59" s="2"/>
      <c r="AI59" s="2"/>
      <c r="AJ59" s="2"/>
      <c r="AK59" s="2"/>
    </row>
    <row r="60" spans="2:37">
      <c r="B60" s="2"/>
      <c r="C60" s="2"/>
      <c r="D60" s="2"/>
      <c r="E60" s="2"/>
      <c r="F60" s="2"/>
      <c r="G60" s="2"/>
      <c r="H60" s="2"/>
      <c r="I60" s="2"/>
      <c r="J60" s="2"/>
      <c r="K60" s="2"/>
      <c r="L60" s="2"/>
      <c r="M60" s="2"/>
      <c r="N60" s="2"/>
      <c r="T60" s="2"/>
      <c r="U60" s="2"/>
      <c r="V60" s="2"/>
      <c r="W60" s="2"/>
      <c r="X60" s="2"/>
      <c r="Y60" s="2"/>
      <c r="Z60" s="2"/>
      <c r="AA60" s="2"/>
      <c r="AB60" s="2"/>
      <c r="AC60" s="2"/>
      <c r="AD60" s="2"/>
      <c r="AE60" s="2"/>
      <c r="AF60" s="2"/>
      <c r="AG60" s="2"/>
      <c r="AH60" s="2"/>
      <c r="AI60" s="2"/>
      <c r="AJ60" s="2"/>
      <c r="AK60" s="2"/>
    </row>
    <row r="61" spans="2:37" ht="18">
      <c r="B61" s="211" t="s">
        <v>20</v>
      </c>
      <c r="C61" s="143"/>
      <c r="D61" s="143"/>
      <c r="E61" s="143"/>
      <c r="F61" s="143"/>
      <c r="G61" s="143"/>
      <c r="H61" s="143"/>
      <c r="I61" s="143"/>
      <c r="J61" s="143"/>
      <c r="K61" s="143"/>
      <c r="L61" s="143"/>
      <c r="M61" s="2"/>
      <c r="N61" s="2"/>
      <c r="O61" s="2"/>
      <c r="P61" s="2"/>
      <c r="Q61" s="2"/>
      <c r="R61" s="2"/>
      <c r="S61" s="2"/>
      <c r="T61" s="2"/>
      <c r="U61" s="2"/>
      <c r="V61" s="2"/>
      <c r="W61" s="2"/>
      <c r="X61" s="2"/>
      <c r="Y61" s="2"/>
      <c r="Z61" s="2"/>
      <c r="AA61" s="2"/>
      <c r="AB61" s="2"/>
      <c r="AC61" s="2"/>
      <c r="AD61" s="2"/>
      <c r="AE61" s="2"/>
      <c r="AF61" s="2"/>
      <c r="AG61" s="2"/>
      <c r="AH61" s="2"/>
      <c r="AI61" s="2"/>
      <c r="AJ61" s="2"/>
      <c r="AK61" s="2"/>
    </row>
    <row r="62" spans="2:37" ht="18">
      <c r="B62" s="211" t="s">
        <v>185</v>
      </c>
      <c r="C62" s="143"/>
      <c r="D62" s="143"/>
      <c r="E62" s="143"/>
      <c r="F62" s="143"/>
      <c r="G62" s="143"/>
      <c r="H62" s="143"/>
      <c r="I62" s="143"/>
      <c r="J62" s="143"/>
      <c r="K62" s="143"/>
      <c r="L62" s="143"/>
      <c r="M62" s="2"/>
      <c r="N62" s="2"/>
      <c r="O62" s="2"/>
      <c r="P62" s="2"/>
      <c r="Q62" s="2"/>
      <c r="R62" s="2"/>
      <c r="S62" s="2"/>
      <c r="T62" s="2"/>
      <c r="U62" s="2"/>
      <c r="V62" s="2"/>
      <c r="W62" s="2"/>
      <c r="X62" s="2"/>
      <c r="Y62" s="2"/>
      <c r="Z62" s="2"/>
      <c r="AA62" s="2"/>
      <c r="AB62" s="2"/>
      <c r="AC62" s="2"/>
      <c r="AD62" s="2"/>
      <c r="AE62" s="2"/>
      <c r="AF62" s="2"/>
      <c r="AG62" s="2"/>
      <c r="AH62" s="2"/>
      <c r="AI62" s="2"/>
      <c r="AJ62" s="2"/>
      <c r="AK62" s="2"/>
    </row>
    <row r="63" spans="2:37">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row>
    <row r="64" spans="2:37">
      <c r="B64" s="2"/>
      <c r="C64" s="212" t="s">
        <v>1</v>
      </c>
      <c r="D64" s="213"/>
      <c r="E64" s="214" t="s">
        <v>2</v>
      </c>
      <c r="F64" s="215"/>
      <c r="G64" s="214" t="s">
        <v>2</v>
      </c>
      <c r="H64" s="216"/>
      <c r="I64" s="213"/>
      <c r="J64" s="214" t="s">
        <v>2</v>
      </c>
      <c r="K64" s="829"/>
      <c r="L64" s="830"/>
      <c r="M64" s="2"/>
      <c r="N64" s="2"/>
      <c r="O64" s="2"/>
      <c r="P64" s="2"/>
      <c r="Q64" s="2"/>
      <c r="R64" s="2"/>
      <c r="S64" s="2"/>
      <c r="T64" s="2"/>
      <c r="U64" s="2"/>
      <c r="V64" s="2"/>
      <c r="W64" s="2"/>
      <c r="X64" s="2"/>
      <c r="Y64" s="2"/>
      <c r="Z64" s="2"/>
      <c r="AA64" s="2"/>
      <c r="AB64" s="2"/>
      <c r="AC64" s="2"/>
      <c r="AD64" s="2"/>
      <c r="AE64" s="2"/>
      <c r="AF64" s="2"/>
      <c r="AG64" s="2"/>
      <c r="AH64" s="2"/>
      <c r="AI64" s="2"/>
      <c r="AJ64" s="2"/>
      <c r="AK64" s="2"/>
    </row>
    <row r="65" spans="2:37">
      <c r="B65" s="2"/>
      <c r="C65" s="145"/>
      <c r="D65" s="217" t="str">
        <f>D4</f>
        <v>2023-2024</v>
      </c>
      <c r="E65" s="218" t="s">
        <v>3</v>
      </c>
      <c r="F65" s="217" t="str">
        <f>F4</f>
        <v>2024-2025</v>
      </c>
      <c r="G65" s="218" t="s">
        <v>3</v>
      </c>
      <c r="H65" s="219" t="s">
        <v>2</v>
      </c>
      <c r="I65" s="217" t="str">
        <f>I4</f>
        <v>2025-2026</v>
      </c>
      <c r="J65" s="218" t="s">
        <v>3</v>
      </c>
      <c r="K65" s="831" t="s">
        <v>2</v>
      </c>
      <c r="L65" s="832"/>
      <c r="M65" s="2"/>
      <c r="N65" s="2"/>
      <c r="O65" s="2"/>
      <c r="P65" s="2"/>
      <c r="Q65" s="2"/>
      <c r="R65" s="2"/>
      <c r="S65" s="2"/>
      <c r="T65" s="2"/>
      <c r="U65" s="2"/>
      <c r="V65" s="2"/>
      <c r="W65" s="2"/>
      <c r="X65" s="2"/>
      <c r="Y65" s="2"/>
      <c r="Z65" s="2"/>
      <c r="AA65" s="2"/>
      <c r="AB65" s="2"/>
      <c r="AC65" s="2"/>
      <c r="AD65" s="2"/>
      <c r="AE65" s="2"/>
      <c r="AF65" s="2"/>
      <c r="AG65" s="2"/>
      <c r="AH65" s="2"/>
      <c r="AI65" s="2"/>
      <c r="AJ65" s="2"/>
      <c r="AK65" s="2"/>
    </row>
    <row r="66" spans="2:37">
      <c r="B66" s="2"/>
      <c r="C66" s="220" t="s">
        <v>4</v>
      </c>
      <c r="D66" s="221" t="s">
        <v>5</v>
      </c>
      <c r="E66" s="222" t="s">
        <v>143</v>
      </c>
      <c r="F66" s="221" t="s">
        <v>5</v>
      </c>
      <c r="G66" s="222" t="s">
        <v>143</v>
      </c>
      <c r="H66" s="222" t="s">
        <v>144</v>
      </c>
      <c r="I66" s="221" t="s">
        <v>6</v>
      </c>
      <c r="J66" s="221" t="s">
        <v>143</v>
      </c>
      <c r="K66" s="833" t="s">
        <v>144</v>
      </c>
      <c r="L66" s="834"/>
      <c r="M66" s="2"/>
      <c r="N66" s="2"/>
      <c r="O66" s="2"/>
      <c r="P66" s="2"/>
      <c r="Q66" s="2"/>
      <c r="R66" s="2"/>
      <c r="S66" s="2"/>
      <c r="T66" s="2"/>
      <c r="U66" s="2"/>
      <c r="V66" s="2"/>
      <c r="W66" s="2"/>
      <c r="X66" s="2"/>
      <c r="Y66" s="2"/>
      <c r="Z66" s="2"/>
      <c r="AA66" s="2"/>
      <c r="AB66" s="2"/>
      <c r="AC66" s="2"/>
      <c r="AD66" s="2"/>
      <c r="AE66" s="2"/>
      <c r="AF66" s="2"/>
      <c r="AG66" s="2"/>
      <c r="AH66" s="2"/>
      <c r="AI66" s="2"/>
      <c r="AJ66" s="2"/>
      <c r="AK66" s="2"/>
    </row>
    <row r="67" spans="2:37" ht="16.5" customHeight="1">
      <c r="B67" s="223" t="s">
        <v>8</v>
      </c>
      <c r="C67" s="223"/>
      <c r="D67" s="224">
        <f>D321</f>
        <v>450094</v>
      </c>
      <c r="E67" s="225">
        <f t="shared" ref="E67:E73" si="12">IF(OR(D$75=0,D67=0),0,IF(D67/D$75&lt;0.001,"&lt;1%",D67/D$75))</f>
        <v>0.67</v>
      </c>
      <c r="F67" s="224">
        <f>F321</f>
        <v>509814</v>
      </c>
      <c r="G67" s="225">
        <f t="shared" ref="G67:G73" si="13">IF(OR(F$75=0,F67=0),0,IF(F67/F$75&lt;0.001,"&lt;1%",F67/F$75))</f>
        <v>0.73</v>
      </c>
      <c r="H67" s="225">
        <f t="shared" ref="H67:H76" si="14">IF(D67=0,0,((F67-D67)/D67))</f>
        <v>0.13</v>
      </c>
      <c r="I67" s="224">
        <f>J321</f>
        <v>574723</v>
      </c>
      <c r="J67" s="225">
        <f t="shared" ref="J67:J73" si="15">IF(OR(I$75=0,I67=0),0,IF(I67/I$75&lt;0.001,"&lt;1%",I67/I$75))</f>
        <v>0.62</v>
      </c>
      <c r="K67" s="824">
        <f t="shared" ref="K67:K76" si="16">IF(F67=0,0,((I67-F67)/F67))</f>
        <v>0.13</v>
      </c>
      <c r="L67" s="825"/>
      <c r="M67" s="2"/>
      <c r="N67" s="2"/>
      <c r="O67" s="2"/>
      <c r="P67" s="2"/>
      <c r="Q67" s="2"/>
      <c r="R67" s="2"/>
      <c r="S67" s="2"/>
      <c r="T67" s="2"/>
      <c r="U67" s="2"/>
      <c r="V67" s="2"/>
      <c r="W67" s="2"/>
      <c r="X67" s="2"/>
      <c r="Y67" s="2"/>
      <c r="Z67" s="2"/>
      <c r="AA67" s="2"/>
      <c r="AB67" s="2"/>
      <c r="AC67" s="2"/>
      <c r="AD67" s="2"/>
      <c r="AE67" s="2"/>
      <c r="AF67" s="2"/>
      <c r="AG67" s="2"/>
      <c r="AH67" s="2"/>
      <c r="AI67" s="2"/>
      <c r="AJ67" s="2"/>
      <c r="AK67" s="2"/>
    </row>
    <row r="68" spans="2:37" ht="16.5" customHeight="1">
      <c r="B68" s="44" t="s">
        <v>10</v>
      </c>
      <c r="C68" s="44"/>
      <c r="D68" s="226">
        <f>D385</f>
        <v>0</v>
      </c>
      <c r="E68" s="227">
        <f t="shared" si="12"/>
        <v>0</v>
      </c>
      <c r="F68" s="226">
        <f>F385</f>
        <v>267</v>
      </c>
      <c r="G68" s="228" t="str">
        <f t="shared" si="13"/>
        <v>&lt;1%</v>
      </c>
      <c r="H68" s="227">
        <f t="shared" si="14"/>
        <v>0</v>
      </c>
      <c r="I68" s="226">
        <f>J385</f>
        <v>0</v>
      </c>
      <c r="J68" s="228">
        <f t="shared" si="15"/>
        <v>0</v>
      </c>
      <c r="K68" s="776">
        <f t="shared" si="16"/>
        <v>-1</v>
      </c>
      <c r="L68" s="777"/>
      <c r="M68" s="2"/>
      <c r="N68" s="2"/>
      <c r="O68" s="2"/>
      <c r="P68" s="2"/>
      <c r="Q68" s="2"/>
      <c r="R68" s="2"/>
      <c r="S68" s="2"/>
      <c r="T68" s="2"/>
      <c r="U68" s="2"/>
      <c r="V68" s="2"/>
      <c r="W68" s="2"/>
      <c r="X68" s="2"/>
      <c r="Y68" s="2"/>
      <c r="Z68" s="2"/>
      <c r="AA68" s="2"/>
      <c r="AB68" s="2"/>
      <c r="AC68" s="2"/>
      <c r="AD68" s="2"/>
      <c r="AE68" s="2"/>
      <c r="AF68" s="2"/>
      <c r="AG68" s="2"/>
      <c r="AH68" s="2"/>
      <c r="AI68" s="2"/>
      <c r="AJ68" s="2"/>
      <c r="AK68" s="2"/>
    </row>
    <row r="69" spans="2:37" ht="16.5" customHeight="1">
      <c r="B69" s="229" t="s">
        <v>11</v>
      </c>
      <c r="C69" s="229"/>
      <c r="D69" s="230">
        <f>D449</f>
        <v>0</v>
      </c>
      <c r="E69" s="231">
        <f t="shared" si="12"/>
        <v>0</v>
      </c>
      <c r="F69" s="230">
        <f>F449</f>
        <v>0</v>
      </c>
      <c r="G69" s="232">
        <f t="shared" si="13"/>
        <v>0</v>
      </c>
      <c r="H69" s="231">
        <f t="shared" si="14"/>
        <v>0</v>
      </c>
      <c r="I69" s="230">
        <f>J449</f>
        <v>0</v>
      </c>
      <c r="J69" s="232">
        <f t="shared" si="15"/>
        <v>0</v>
      </c>
      <c r="K69" s="824">
        <f t="shared" si="16"/>
        <v>0</v>
      </c>
      <c r="L69" s="825"/>
      <c r="M69" s="2"/>
      <c r="N69" s="2"/>
      <c r="O69" s="2"/>
      <c r="P69" s="2"/>
      <c r="Q69" s="2"/>
      <c r="R69" s="2"/>
      <c r="S69" s="2"/>
      <c r="T69" s="2"/>
      <c r="U69" s="2"/>
      <c r="V69" s="2"/>
      <c r="AA69" s="2"/>
      <c r="AB69" s="2"/>
      <c r="AC69" s="2"/>
      <c r="AD69" s="2"/>
      <c r="AE69" s="2"/>
      <c r="AF69" s="2"/>
      <c r="AG69" s="2"/>
      <c r="AH69" s="2"/>
      <c r="AI69" s="2"/>
      <c r="AJ69" s="2"/>
      <c r="AK69" s="2"/>
    </row>
    <row r="70" spans="2:37" ht="16.5" customHeight="1">
      <c r="B70" s="44" t="s">
        <v>131</v>
      </c>
      <c r="C70" s="44"/>
      <c r="D70" s="226">
        <f>D514+D578+D642</f>
        <v>187591</v>
      </c>
      <c r="E70" s="227">
        <f t="shared" si="12"/>
        <v>0.28000000000000003</v>
      </c>
      <c r="F70" s="226">
        <f>F514+F578+F642</f>
        <v>176165</v>
      </c>
      <c r="G70" s="228">
        <f t="shared" si="13"/>
        <v>0.25</v>
      </c>
      <c r="H70" s="227">
        <f t="shared" si="14"/>
        <v>-0.06</v>
      </c>
      <c r="I70" s="233">
        <f>J514+J578+J642</f>
        <v>218700</v>
      </c>
      <c r="J70" s="228">
        <f t="shared" si="15"/>
        <v>0.23</v>
      </c>
      <c r="K70" s="796">
        <f t="shared" si="16"/>
        <v>0.24</v>
      </c>
      <c r="L70" s="797"/>
      <c r="M70" s="165"/>
      <c r="N70" s="165"/>
      <c r="O70" s="2"/>
      <c r="P70" s="2"/>
      <c r="Q70" s="2"/>
      <c r="R70" s="2"/>
      <c r="S70" s="2"/>
      <c r="T70" s="2"/>
      <c r="U70" s="2"/>
      <c r="V70" s="2"/>
      <c r="AA70" s="2"/>
      <c r="AB70" s="2"/>
      <c r="AC70" s="2"/>
      <c r="AD70" s="2"/>
      <c r="AE70" s="2"/>
      <c r="AF70" s="2"/>
      <c r="AG70" s="2"/>
      <c r="AH70" s="2"/>
      <c r="AI70" s="2"/>
      <c r="AJ70" s="2"/>
      <c r="AK70" s="2"/>
    </row>
    <row r="71" spans="2:37" ht="16.5" customHeight="1">
      <c r="B71" s="229" t="s">
        <v>12</v>
      </c>
      <c r="C71" s="229"/>
      <c r="D71" s="230">
        <f>SUM(D706)</f>
        <v>8552</v>
      </c>
      <c r="E71" s="231">
        <f t="shared" si="12"/>
        <v>0.01</v>
      </c>
      <c r="F71" s="230">
        <f>SUM(F706)</f>
        <v>5731</v>
      </c>
      <c r="G71" s="232">
        <f t="shared" si="13"/>
        <v>0.01</v>
      </c>
      <c r="H71" s="231">
        <f t="shared" si="14"/>
        <v>-0.33</v>
      </c>
      <c r="I71" s="234">
        <f>SUM(J706)</f>
        <v>114100</v>
      </c>
      <c r="J71" s="232">
        <f t="shared" si="15"/>
        <v>0.12</v>
      </c>
      <c r="K71" s="820">
        <f t="shared" si="16"/>
        <v>18.91</v>
      </c>
      <c r="L71" s="821"/>
      <c r="M71" s="165"/>
      <c r="N71" s="165"/>
      <c r="O71" s="165"/>
      <c r="P71" s="2"/>
      <c r="Q71" s="2"/>
      <c r="R71" s="2"/>
      <c r="S71" s="2"/>
      <c r="T71" s="2"/>
      <c r="U71" s="2"/>
      <c r="V71" s="2"/>
      <c r="AA71" s="2"/>
      <c r="AB71" s="2"/>
      <c r="AC71" s="2"/>
      <c r="AD71" s="2"/>
      <c r="AE71" s="2"/>
      <c r="AF71" s="2"/>
      <c r="AG71" s="2"/>
      <c r="AH71" s="2"/>
      <c r="AI71" s="2"/>
      <c r="AJ71" s="2"/>
      <c r="AK71" s="2"/>
    </row>
    <row r="72" spans="2:37" ht="16.5" customHeight="1">
      <c r="B72" s="44" t="s">
        <v>13</v>
      </c>
      <c r="C72" s="235"/>
      <c r="D72" s="226">
        <f>D770</f>
        <v>14681</v>
      </c>
      <c r="E72" s="227">
        <f t="shared" si="12"/>
        <v>0.02</v>
      </c>
      <c r="F72" s="226">
        <f>F770</f>
        <v>7803</v>
      </c>
      <c r="G72" s="228">
        <f t="shared" si="13"/>
        <v>0.01</v>
      </c>
      <c r="H72" s="227">
        <f t="shared" si="14"/>
        <v>-0.47</v>
      </c>
      <c r="I72" s="226">
        <f>J770</f>
        <v>25500</v>
      </c>
      <c r="J72" s="228">
        <f t="shared" si="15"/>
        <v>0.03</v>
      </c>
      <c r="K72" s="796">
        <f t="shared" si="16"/>
        <v>2.27</v>
      </c>
      <c r="L72" s="797"/>
      <c r="M72" s="165"/>
      <c r="N72" s="165"/>
      <c r="O72" s="165"/>
      <c r="P72" s="2"/>
      <c r="Q72" s="2"/>
      <c r="R72" s="2"/>
      <c r="S72" s="2"/>
      <c r="T72" s="2"/>
      <c r="U72" s="2"/>
      <c r="V72" s="2"/>
      <c r="AA72" s="2"/>
      <c r="AB72" s="2"/>
      <c r="AC72" s="2"/>
      <c r="AD72" s="2"/>
      <c r="AE72" s="2"/>
      <c r="AF72" s="2"/>
      <c r="AG72" s="2"/>
      <c r="AH72" s="2"/>
      <c r="AI72" s="2"/>
      <c r="AJ72" s="2"/>
      <c r="AK72" s="2"/>
    </row>
    <row r="73" spans="2:37" ht="16.5" customHeight="1">
      <c r="B73" s="229" t="s">
        <v>15</v>
      </c>
      <c r="C73" s="236"/>
      <c r="D73" s="230">
        <f>D1027</f>
        <v>0</v>
      </c>
      <c r="E73" s="231">
        <f t="shared" si="12"/>
        <v>0</v>
      </c>
      <c r="F73" s="230">
        <f>F1027</f>
        <v>0</v>
      </c>
      <c r="G73" s="232">
        <f t="shared" si="13"/>
        <v>0</v>
      </c>
      <c r="H73" s="231">
        <f t="shared" si="14"/>
        <v>0</v>
      </c>
      <c r="I73" s="230">
        <f>J1027</f>
        <v>0</v>
      </c>
      <c r="J73" s="232">
        <f t="shared" si="15"/>
        <v>0</v>
      </c>
      <c r="K73" s="820">
        <f t="shared" si="16"/>
        <v>0</v>
      </c>
      <c r="L73" s="821"/>
      <c r="M73" s="165"/>
      <c r="N73" s="165"/>
      <c r="O73" s="165"/>
      <c r="P73" s="2"/>
      <c r="Q73" s="2"/>
      <c r="R73" s="2"/>
      <c r="S73" s="2"/>
      <c r="T73" s="2"/>
      <c r="U73" s="2"/>
      <c r="V73" s="2"/>
      <c r="AA73" s="2"/>
      <c r="AB73" s="2"/>
      <c r="AC73" s="2"/>
      <c r="AD73" s="2"/>
      <c r="AE73" s="2"/>
      <c r="AF73" s="2"/>
      <c r="AG73" s="2"/>
      <c r="AH73" s="2"/>
      <c r="AI73" s="2"/>
      <c r="AJ73" s="2"/>
      <c r="AK73" s="2"/>
    </row>
    <row r="74" spans="2:37" ht="16.5" customHeight="1" thickBot="1">
      <c r="B74" s="237" t="s">
        <v>17</v>
      </c>
      <c r="C74" s="237"/>
      <c r="D74" s="238">
        <f>SUM(D834+D962)</f>
        <v>7174</v>
      </c>
      <c r="E74" s="172">
        <f>IF(OR(D$75=0,D74=0),0,IF(D74/D$75&lt;0.001,"&lt;1%",D74/D$75))</f>
        <v>0.01</v>
      </c>
      <c r="F74" s="238">
        <f>SUM(F834+F962)</f>
        <v>219</v>
      </c>
      <c r="G74" s="172" t="str">
        <f>IF(OR(F$75=0,F74=0),0,IF(F74/F$75&lt;0.001,"&lt;1%",F74/F$75))</f>
        <v>&lt;1%</v>
      </c>
      <c r="H74" s="172">
        <f t="shared" si="14"/>
        <v>-0.97</v>
      </c>
      <c r="I74" s="239">
        <f>SUM(J834+J962)</f>
        <v>0</v>
      </c>
      <c r="J74" s="172">
        <f>IF(OR(I$75=0,I74=0),0,IF(I74/I$75&lt;0.001,"&lt;1%",I74/I$75))</f>
        <v>0</v>
      </c>
      <c r="K74" s="784">
        <f t="shared" si="16"/>
        <v>-1</v>
      </c>
      <c r="L74" s="785"/>
      <c r="M74" s="165"/>
      <c r="N74" s="165"/>
      <c r="O74" s="165"/>
      <c r="P74" s="2"/>
      <c r="Q74" s="2"/>
      <c r="R74" s="2"/>
      <c r="S74" s="2"/>
      <c r="T74" s="2"/>
      <c r="U74" s="2"/>
      <c r="V74" s="2"/>
      <c r="W74" s="2"/>
      <c r="X74" s="165"/>
      <c r="Y74" s="165"/>
      <c r="Z74" s="165"/>
      <c r="AA74" s="2"/>
      <c r="AB74" s="2"/>
      <c r="AC74" s="2"/>
      <c r="AD74" s="2"/>
      <c r="AE74" s="2"/>
      <c r="AF74" s="2"/>
      <c r="AG74" s="2"/>
      <c r="AH74" s="2"/>
      <c r="AI74" s="2"/>
      <c r="AJ74" s="2"/>
      <c r="AK74" s="2"/>
    </row>
    <row r="75" spans="2:37" ht="16.5" customHeight="1" thickTop="1">
      <c r="B75" s="240" t="s">
        <v>23</v>
      </c>
      <c r="C75" s="240"/>
      <c r="D75" s="241">
        <f>SUM(D67:D74)</f>
        <v>668092</v>
      </c>
      <c r="E75" s="242">
        <f>SUM(D67/D75,D68/D75,D69/D75,D70/D75,D71/D75,D72/D75,D73/D75,D74/D75)</f>
        <v>1</v>
      </c>
      <c r="F75" s="241">
        <f>SUM(F67:F74)</f>
        <v>699999</v>
      </c>
      <c r="G75" s="242">
        <f>SUM(F67/F75,F68/F75,F69/F75,F70/F75,F71/F75,F72/F75,F73/F75,F74/F75)</f>
        <v>1</v>
      </c>
      <c r="H75" s="242">
        <f t="shared" si="14"/>
        <v>0.05</v>
      </c>
      <c r="I75" s="243">
        <f>SUM(I67:I74)</f>
        <v>933023</v>
      </c>
      <c r="J75" s="242">
        <f>SUM(I67/I75,I68/I75,I69/I75,I70/I75,I71/I75,I72/I75,I73/I75,I74/I75)</f>
        <v>1</v>
      </c>
      <c r="K75" s="822">
        <f t="shared" si="16"/>
        <v>0.33</v>
      </c>
      <c r="L75" s="823"/>
      <c r="M75" s="2"/>
      <c r="N75" s="2"/>
      <c r="O75" s="2"/>
      <c r="P75" s="2"/>
      <c r="Q75" s="2"/>
      <c r="R75" s="2"/>
      <c r="S75" s="2"/>
      <c r="T75" s="2"/>
      <c r="U75" s="2"/>
      <c r="V75" s="2"/>
      <c r="W75" s="2"/>
      <c r="X75" s="2"/>
      <c r="Y75" s="2"/>
      <c r="Z75" s="2"/>
      <c r="AA75" s="2"/>
      <c r="AB75" s="2"/>
      <c r="AC75" s="2"/>
      <c r="AD75" s="2"/>
      <c r="AE75" s="2"/>
      <c r="AF75" s="2"/>
      <c r="AG75" s="2"/>
      <c r="AH75" s="2"/>
      <c r="AI75" s="2"/>
      <c r="AJ75" s="2"/>
      <c r="AK75" s="2"/>
    </row>
    <row r="76" spans="2:37" ht="16.5" customHeight="1">
      <c r="B76" s="44" t="s">
        <v>19</v>
      </c>
      <c r="C76" s="244"/>
      <c r="D76" s="245">
        <f>D75/G1312</f>
        <v>9450</v>
      </c>
      <c r="E76" s="246"/>
      <c r="F76" s="245">
        <f>F75/I1312</f>
        <v>8485</v>
      </c>
      <c r="G76" s="246"/>
      <c r="H76" s="247">
        <f t="shared" si="14"/>
        <v>-0.1</v>
      </c>
      <c r="I76" s="245">
        <f>IF(K1312=0,0,(I75/K1312))</f>
        <v>13329</v>
      </c>
      <c r="J76" s="246"/>
      <c r="K76" s="776">
        <f t="shared" si="16"/>
        <v>0.56999999999999995</v>
      </c>
      <c r="L76" s="777"/>
      <c r="M76" s="2"/>
      <c r="N76" s="2"/>
      <c r="O76" s="2"/>
      <c r="P76" s="2"/>
      <c r="Q76" s="2"/>
      <c r="R76" s="2"/>
      <c r="S76" s="2"/>
      <c r="T76" s="2"/>
      <c r="U76" s="2"/>
      <c r="V76" s="2"/>
      <c r="W76" s="2"/>
      <c r="X76" s="2"/>
      <c r="Y76" s="2"/>
      <c r="Z76" s="2"/>
      <c r="AA76" s="2"/>
      <c r="AB76" s="2"/>
      <c r="AC76" s="2"/>
      <c r="AD76" s="2"/>
      <c r="AE76" s="2"/>
      <c r="AF76" s="2"/>
      <c r="AG76" s="2"/>
      <c r="AH76" s="2"/>
      <c r="AI76" s="2"/>
      <c r="AJ76" s="2"/>
      <c r="AK76" s="2"/>
    </row>
    <row r="77" spans="2:37" ht="6.75" customHeight="1">
      <c r="B77" s="2"/>
      <c r="C77" s="2"/>
      <c r="D77" s="2"/>
      <c r="E77" s="2"/>
      <c r="F77" s="2"/>
      <c r="G77" s="2"/>
      <c r="H77" s="2"/>
      <c r="I77" s="2"/>
      <c r="J77" s="2"/>
      <c r="K77" s="2"/>
      <c r="L77" s="2"/>
      <c r="M77" s="2"/>
      <c r="N77" s="2"/>
      <c r="O77" s="2"/>
      <c r="P77" s="2"/>
      <c r="Q77" s="2"/>
      <c r="R77" s="2"/>
      <c r="S77" s="2"/>
      <c r="T77" s="2"/>
      <c r="U77" s="2"/>
      <c r="V77" s="2"/>
      <c r="Y77" s="2"/>
      <c r="Z77" s="2"/>
      <c r="AA77" s="2"/>
      <c r="AB77" s="2"/>
      <c r="AC77" s="2"/>
      <c r="AD77" s="2"/>
      <c r="AE77" s="2"/>
      <c r="AF77" s="2"/>
      <c r="AG77" s="2"/>
      <c r="AH77" s="2"/>
      <c r="AI77" s="2"/>
      <c r="AJ77" s="2"/>
      <c r="AK77" s="2"/>
    </row>
    <row r="78" spans="2:37">
      <c r="B78" s="248" t="s">
        <v>186</v>
      </c>
      <c r="C78" s="2"/>
      <c r="D78" s="2"/>
      <c r="E78" s="2"/>
      <c r="F78" s="2"/>
      <c r="G78" s="2"/>
      <c r="H78" s="2"/>
      <c r="I78" s="2"/>
      <c r="J78" s="2"/>
      <c r="K78" s="2"/>
      <c r="L78" s="2"/>
      <c r="M78" s="2"/>
      <c r="N78" s="2"/>
      <c r="O78" s="2"/>
      <c r="P78" s="2"/>
      <c r="Q78" s="2"/>
      <c r="R78" s="2"/>
      <c r="S78" s="2"/>
      <c r="T78" s="2"/>
      <c r="U78" s="2"/>
      <c r="V78" s="2"/>
      <c r="Y78" s="2"/>
      <c r="Z78" s="2"/>
      <c r="AA78" s="2"/>
      <c r="AB78" s="2"/>
      <c r="AC78" s="2"/>
      <c r="AD78" s="2"/>
      <c r="AE78" s="2"/>
      <c r="AF78" s="2"/>
      <c r="AG78" s="2"/>
      <c r="AH78" s="2"/>
      <c r="AI78" s="2"/>
      <c r="AJ78" s="2"/>
      <c r="AK78" s="2"/>
    </row>
    <row r="79" spans="2:37">
      <c r="B79" s="2"/>
      <c r="C79" s="2"/>
      <c r="D79" s="2"/>
      <c r="E79" s="2"/>
      <c r="F79" s="2"/>
      <c r="G79" s="2"/>
      <c r="H79" s="2"/>
      <c r="I79" s="2"/>
      <c r="J79" s="2"/>
      <c r="K79" s="2"/>
      <c r="L79" s="2"/>
      <c r="M79" s="2"/>
      <c r="N79" s="2"/>
      <c r="O79" s="2"/>
      <c r="P79" s="2"/>
      <c r="Q79" s="2"/>
      <c r="R79" s="2"/>
      <c r="S79" s="2"/>
      <c r="T79" s="2"/>
      <c r="U79" s="2"/>
      <c r="V79" s="2"/>
      <c r="Y79" s="2"/>
      <c r="Z79" s="2"/>
      <c r="AA79" s="2"/>
      <c r="AB79" s="2"/>
      <c r="AC79" s="2"/>
      <c r="AD79" s="2"/>
      <c r="AE79" s="2"/>
      <c r="AF79" s="2"/>
      <c r="AG79" s="2"/>
      <c r="AH79" s="2"/>
      <c r="AI79" s="2"/>
      <c r="AJ79" s="2"/>
      <c r="AK79" s="2"/>
    </row>
    <row r="80" spans="2:37">
      <c r="B80" s="2"/>
      <c r="C80" s="2"/>
      <c r="D80" s="2"/>
      <c r="E80" s="2"/>
      <c r="F80" s="2"/>
      <c r="G80" s="2"/>
      <c r="H80" s="2"/>
      <c r="I80" s="2"/>
      <c r="J80" s="2"/>
      <c r="K80" s="2"/>
      <c r="L80" s="2"/>
      <c r="M80" s="2"/>
      <c r="N80" s="2"/>
      <c r="O80" s="2"/>
      <c r="P80" s="2"/>
      <c r="Q80" s="2"/>
      <c r="R80" s="2"/>
      <c r="S80" s="2"/>
      <c r="T80" s="2"/>
      <c r="U80" s="2"/>
      <c r="V80" s="2"/>
      <c r="Y80" s="2"/>
      <c r="Z80" s="2"/>
      <c r="AA80" s="2"/>
      <c r="AB80" s="2"/>
      <c r="AC80" s="2"/>
      <c r="AD80" s="2"/>
      <c r="AE80" s="2"/>
      <c r="AF80" s="2"/>
      <c r="AG80" s="2"/>
      <c r="AH80" s="2"/>
      <c r="AI80" s="2"/>
      <c r="AJ80" s="2"/>
      <c r="AK80" s="2"/>
    </row>
    <row r="81" spans="2:37">
      <c r="B81" s="2"/>
      <c r="C81" s="2"/>
      <c r="D81" s="2"/>
      <c r="E81" s="2"/>
      <c r="F81" s="2"/>
      <c r="G81" s="2"/>
      <c r="H81" s="2"/>
      <c r="I81" s="2"/>
      <c r="J81" s="2"/>
      <c r="K81" s="2"/>
      <c r="L81" s="2"/>
      <c r="M81" s="2"/>
      <c r="N81" s="2"/>
      <c r="O81" s="2"/>
      <c r="P81" s="2"/>
      <c r="Q81" s="2"/>
      <c r="R81" s="2"/>
      <c r="S81" s="2"/>
      <c r="T81" s="2"/>
      <c r="U81" s="2"/>
      <c r="V81" s="2"/>
      <c r="Y81" s="2"/>
      <c r="Z81" s="2"/>
      <c r="AA81" s="2"/>
      <c r="AB81" s="2"/>
      <c r="AC81" s="2"/>
      <c r="AD81" s="2"/>
      <c r="AE81" s="2"/>
      <c r="AF81" s="2"/>
      <c r="AG81" s="2"/>
      <c r="AH81" s="2"/>
      <c r="AI81" s="2"/>
      <c r="AJ81" s="2"/>
      <c r="AK81" s="2"/>
    </row>
    <row r="82" spans="2:37">
      <c r="B82" s="2"/>
      <c r="C82" s="2"/>
      <c r="D82" s="2"/>
      <c r="E82" s="2"/>
      <c r="F82" s="2"/>
      <c r="G82" s="2"/>
      <c r="H82" s="2"/>
      <c r="I82" s="2"/>
      <c r="J82" s="2"/>
      <c r="K82" s="2"/>
      <c r="L82" s="2"/>
      <c r="M82" s="2"/>
      <c r="N82" s="2"/>
      <c r="O82" s="2"/>
      <c r="P82" s="2"/>
      <c r="Q82" s="2"/>
      <c r="R82" s="2"/>
      <c r="S82" s="2"/>
      <c r="T82" s="2"/>
      <c r="U82" s="2"/>
      <c r="V82" s="2"/>
      <c r="Y82" s="2"/>
      <c r="Z82" s="2"/>
      <c r="AA82" s="2"/>
      <c r="AB82" s="2"/>
      <c r="AC82" s="2"/>
      <c r="AD82" s="2"/>
      <c r="AE82" s="2"/>
      <c r="AF82" s="2"/>
      <c r="AG82" s="2"/>
      <c r="AH82" s="2"/>
      <c r="AI82" s="2"/>
      <c r="AJ82" s="2"/>
      <c r="AK82" s="2"/>
    </row>
    <row r="83" spans="2:37">
      <c r="B83" s="2"/>
      <c r="C83" s="2"/>
      <c r="D83" s="2"/>
      <c r="E83" s="2"/>
      <c r="F83" s="2"/>
      <c r="G83" s="2"/>
      <c r="H83" s="2"/>
      <c r="I83" s="2"/>
      <c r="J83" s="2"/>
      <c r="K83" s="2"/>
      <c r="L83" s="2"/>
      <c r="M83" s="2"/>
      <c r="N83" s="2"/>
      <c r="O83" s="2"/>
      <c r="P83" s="2"/>
      <c r="Q83" s="2"/>
      <c r="R83" s="2"/>
      <c r="S83" s="2"/>
      <c r="T83" s="2"/>
      <c r="U83" s="2"/>
      <c r="V83" s="2"/>
      <c r="Y83" s="2"/>
      <c r="Z83" s="2"/>
      <c r="AA83" s="2"/>
      <c r="AB83" s="2"/>
      <c r="AC83" s="2"/>
      <c r="AD83" s="2"/>
      <c r="AE83" s="2"/>
      <c r="AF83" s="2"/>
      <c r="AG83" s="2"/>
      <c r="AH83" s="2"/>
      <c r="AI83" s="2"/>
      <c r="AJ83" s="2"/>
      <c r="AK83" s="2"/>
    </row>
    <row r="84" spans="2:37">
      <c r="B84" s="2"/>
      <c r="C84" s="2"/>
      <c r="D84" s="2"/>
      <c r="E84" s="2"/>
      <c r="F84" s="2"/>
      <c r="G84" s="2"/>
      <c r="H84" s="2"/>
      <c r="I84" s="2"/>
      <c r="J84" s="2"/>
      <c r="K84" s="2"/>
      <c r="L84" s="2"/>
      <c r="M84" s="2"/>
      <c r="N84" s="2"/>
      <c r="O84" s="2"/>
      <c r="P84" s="2"/>
      <c r="Q84" s="2"/>
      <c r="R84" s="2"/>
      <c r="S84" s="2"/>
      <c r="T84" s="2"/>
      <c r="U84" s="2"/>
      <c r="V84" s="2"/>
      <c r="Y84" s="2"/>
      <c r="Z84" s="2"/>
      <c r="AA84" s="2"/>
      <c r="AB84" s="2"/>
      <c r="AC84" s="2"/>
      <c r="AD84" s="2"/>
      <c r="AE84" s="2"/>
      <c r="AF84" s="2"/>
      <c r="AG84" s="2"/>
      <c r="AH84" s="2"/>
      <c r="AI84" s="2"/>
      <c r="AJ84" s="2"/>
      <c r="AK84" s="2"/>
    </row>
    <row r="85" spans="2:37">
      <c r="B85" s="2"/>
      <c r="C85" s="2"/>
      <c r="D85" s="2"/>
      <c r="E85" s="2"/>
      <c r="F85" s="2"/>
      <c r="G85" s="2"/>
      <c r="H85" s="2"/>
      <c r="I85" s="2"/>
      <c r="J85" s="2"/>
      <c r="K85" s="2"/>
      <c r="L85" s="2"/>
      <c r="M85" s="2"/>
      <c r="N85" s="2"/>
      <c r="O85" s="2"/>
      <c r="P85" s="2" t="s">
        <v>21</v>
      </c>
      <c r="Q85" s="2"/>
      <c r="R85" s="2"/>
      <c r="S85" s="2"/>
      <c r="T85" s="2"/>
      <c r="U85" s="2"/>
      <c r="V85" s="2"/>
      <c r="Y85" s="2"/>
      <c r="Z85" s="2"/>
      <c r="AA85" s="2"/>
      <c r="AB85" s="2"/>
      <c r="AC85" s="2"/>
      <c r="AD85" s="2"/>
      <c r="AE85" s="2"/>
      <c r="AF85" s="2"/>
      <c r="AG85" s="2"/>
      <c r="AH85" s="2"/>
      <c r="AI85" s="2"/>
      <c r="AJ85" s="2"/>
      <c r="AK85" s="2"/>
    </row>
    <row r="86" spans="2:37">
      <c r="B86" s="2"/>
      <c r="C86" s="2"/>
      <c r="D86" s="2"/>
      <c r="E86" s="2"/>
      <c r="F86" s="2"/>
      <c r="G86" s="2"/>
      <c r="H86" s="2"/>
      <c r="I86" s="2"/>
      <c r="J86" s="2"/>
      <c r="K86" s="2"/>
      <c r="L86" s="2"/>
      <c r="M86" s="2"/>
      <c r="N86" s="2"/>
      <c r="O86" s="2"/>
      <c r="P86" s="82" t="str">
        <f>D4</f>
        <v>2023-2024</v>
      </c>
      <c r="Q86" s="82" t="str">
        <f>F4</f>
        <v>2024-2025</v>
      </c>
      <c r="R86" s="82" t="str">
        <f>I4</f>
        <v>2025-2026</v>
      </c>
      <c r="S86" s="2"/>
      <c r="T86" s="2"/>
      <c r="U86" s="2"/>
      <c r="V86" s="2"/>
      <c r="Y86" s="2"/>
      <c r="Z86" s="2"/>
      <c r="AA86" s="2"/>
      <c r="AB86" s="2"/>
      <c r="AC86" s="2"/>
      <c r="AD86" s="2"/>
      <c r="AE86" s="2"/>
      <c r="AF86" s="2"/>
      <c r="AG86" s="2"/>
      <c r="AH86" s="2"/>
      <c r="AI86" s="2"/>
      <c r="AJ86" s="2"/>
      <c r="AK86" s="2"/>
    </row>
    <row r="87" spans="2:37">
      <c r="B87" s="2"/>
      <c r="C87" s="2"/>
      <c r="D87" s="2"/>
      <c r="E87" s="2"/>
      <c r="F87" s="2"/>
      <c r="G87" s="2"/>
      <c r="H87" s="2"/>
      <c r="I87" s="2"/>
      <c r="J87" s="2"/>
      <c r="K87" s="2"/>
      <c r="L87" s="2"/>
      <c r="M87" s="2"/>
      <c r="N87" s="2"/>
      <c r="O87" s="140" t="str">
        <f t="shared" ref="O87:O94" si="17">IF(AND($D67&lt;=0,$F67&lt;=0,$I67&lt;=0),"",$B67)</f>
        <v>Instruction</v>
      </c>
      <c r="P87" s="207">
        <f t="shared" ref="P87:P94" si="18">IF(AND($D67&lt;=0,$F67&lt;=0,$I67&lt;=0),#N/A,IF($D67&lt;=0,0,$D67))</f>
        <v>450094</v>
      </c>
      <c r="Q87" s="207">
        <f t="shared" ref="Q87:Q94" si="19">IF(AND($D67&lt;=0,$F67&lt;=0,$I67&lt;=0),#N/A,IF($F67&lt;=0,0,$F67))</f>
        <v>509814</v>
      </c>
      <c r="R87" s="207">
        <f t="shared" ref="R87:R94" si="20">IF(AND($D67&lt;=0,$F67&lt;=0,$I67&lt;=0),#N/A,IF($I67&lt;=0,0,$I67))</f>
        <v>574723</v>
      </c>
      <c r="S87" s="2"/>
      <c r="T87" s="2"/>
      <c r="U87" s="2"/>
      <c r="V87" s="2"/>
      <c r="W87" s="2"/>
      <c r="X87" s="2"/>
      <c r="Y87" s="2"/>
      <c r="Z87" s="2"/>
      <c r="AA87" s="2"/>
      <c r="AB87" s="2"/>
      <c r="AC87" s="2"/>
      <c r="AD87" s="2"/>
      <c r="AE87" s="2"/>
      <c r="AF87" s="2"/>
      <c r="AG87" s="2"/>
      <c r="AH87" s="2"/>
      <c r="AI87" s="2"/>
      <c r="AJ87" s="2"/>
      <c r="AK87" s="2"/>
    </row>
    <row r="88" spans="2:37">
      <c r="B88" s="2"/>
      <c r="C88" s="2"/>
      <c r="D88" s="2"/>
      <c r="E88" s="2"/>
      <c r="F88" s="2"/>
      <c r="G88" s="2"/>
      <c r="H88" s="2"/>
      <c r="I88" s="2"/>
      <c r="J88" s="2"/>
      <c r="K88" s="2"/>
      <c r="L88" s="2"/>
      <c r="M88" s="2"/>
      <c r="N88" s="2"/>
      <c r="O88" s="140" t="str">
        <f t="shared" si="17"/>
        <v>Student Support</v>
      </c>
      <c r="P88" s="207">
        <f t="shared" si="18"/>
        <v>0</v>
      </c>
      <c r="Q88" s="207">
        <f t="shared" si="19"/>
        <v>267</v>
      </c>
      <c r="R88" s="207">
        <f t="shared" si="20"/>
        <v>0</v>
      </c>
      <c r="S88" s="2"/>
      <c r="T88" s="2"/>
      <c r="U88" s="2"/>
      <c r="V88" s="2"/>
      <c r="W88" s="2"/>
      <c r="X88" s="2"/>
      <c r="Y88" s="2"/>
      <c r="Z88" s="2"/>
      <c r="AA88" s="2"/>
      <c r="AB88" s="2"/>
      <c r="AC88" s="2"/>
      <c r="AD88" s="2"/>
      <c r="AE88" s="2"/>
      <c r="AF88" s="2"/>
      <c r="AG88" s="2"/>
      <c r="AH88" s="2"/>
      <c r="AI88" s="2"/>
      <c r="AJ88" s="2"/>
      <c r="AK88" s="2"/>
    </row>
    <row r="89" spans="2:37">
      <c r="B89" s="2"/>
      <c r="C89" s="2"/>
      <c r="D89" s="2"/>
      <c r="E89" s="2"/>
      <c r="F89" s="2"/>
      <c r="G89" s="2"/>
      <c r="H89" s="2"/>
      <c r="I89" s="2"/>
      <c r="J89" s="2"/>
      <c r="K89" s="2"/>
      <c r="L89" s="2"/>
      <c r="M89" s="2"/>
      <c r="N89" s="2"/>
      <c r="O89" s="140" t="str">
        <f t="shared" si="17"/>
        <v/>
      </c>
      <c r="P89" s="207" t="e">
        <f t="shared" si="18"/>
        <v>#N/A</v>
      </c>
      <c r="Q89" s="207" t="e">
        <f t="shared" si="19"/>
        <v>#N/A</v>
      </c>
      <c r="R89" s="207" t="e">
        <f t="shared" si="20"/>
        <v>#N/A</v>
      </c>
      <c r="S89" s="2"/>
      <c r="T89" s="2"/>
      <c r="U89" s="2"/>
      <c r="V89" s="2"/>
      <c r="W89" s="2"/>
      <c r="X89" s="2"/>
      <c r="Y89" s="2"/>
      <c r="Z89" s="2"/>
      <c r="AA89" s="2"/>
      <c r="AB89" s="2"/>
      <c r="AC89" s="2"/>
      <c r="AD89" s="2"/>
      <c r="AE89" s="2"/>
      <c r="AF89" s="2"/>
      <c r="AG89" s="2"/>
      <c r="AH89" s="2"/>
      <c r="AI89" s="2"/>
      <c r="AJ89" s="2"/>
      <c r="AK89" s="2"/>
    </row>
    <row r="90" spans="2:37">
      <c r="B90" s="2"/>
      <c r="C90" s="2"/>
      <c r="D90" s="2"/>
      <c r="E90" s="2"/>
      <c r="F90" s="2"/>
      <c r="G90" s="2"/>
      <c r="H90" s="2"/>
      <c r="I90" s="2"/>
      <c r="J90" s="2"/>
      <c r="K90" s="2"/>
      <c r="L90" s="2"/>
      <c r="M90" s="2"/>
      <c r="N90" s="2"/>
      <c r="O90" s="140" t="str">
        <f t="shared" si="17"/>
        <v>Administration &amp; Support</v>
      </c>
      <c r="P90" s="207">
        <f t="shared" si="18"/>
        <v>187591</v>
      </c>
      <c r="Q90" s="207">
        <f t="shared" si="19"/>
        <v>176165</v>
      </c>
      <c r="R90" s="207">
        <f t="shared" si="20"/>
        <v>218700</v>
      </c>
      <c r="S90" s="2"/>
      <c r="T90" s="2"/>
      <c r="U90" s="2"/>
      <c r="V90" s="2"/>
      <c r="W90" s="2"/>
      <c r="X90" s="2"/>
      <c r="Y90" s="2"/>
      <c r="Z90" s="2"/>
      <c r="AA90" s="2"/>
      <c r="AB90" s="2"/>
      <c r="AC90" s="2"/>
      <c r="AD90" s="2"/>
      <c r="AE90" s="2"/>
      <c r="AF90" s="2"/>
      <c r="AG90" s="2"/>
      <c r="AH90" s="2"/>
      <c r="AI90" s="2"/>
      <c r="AJ90" s="2"/>
      <c r="AK90" s="2"/>
    </row>
    <row r="91" spans="2:37">
      <c r="B91" s="2"/>
      <c r="C91" s="2"/>
      <c r="D91" s="2"/>
      <c r="E91" s="2"/>
      <c r="F91" s="2"/>
      <c r="G91" s="2"/>
      <c r="H91" s="2"/>
      <c r="I91" s="2"/>
      <c r="J91" s="2"/>
      <c r="K91" s="2"/>
      <c r="L91" s="2"/>
      <c r="M91" s="2"/>
      <c r="N91" s="2"/>
      <c r="O91" s="140" t="str">
        <f t="shared" si="17"/>
        <v>Operations &amp; Maintenance</v>
      </c>
      <c r="P91" s="207">
        <f t="shared" si="18"/>
        <v>8552</v>
      </c>
      <c r="Q91" s="207">
        <f t="shared" si="19"/>
        <v>5731</v>
      </c>
      <c r="R91" s="207">
        <f t="shared" si="20"/>
        <v>114100</v>
      </c>
      <c r="S91" s="2"/>
      <c r="T91" s="2"/>
      <c r="U91" s="2"/>
      <c r="V91" s="2"/>
      <c r="W91" s="2"/>
      <c r="X91" s="2"/>
      <c r="Y91" s="2"/>
      <c r="Z91" s="2"/>
      <c r="AA91" s="2"/>
      <c r="AB91" s="2"/>
      <c r="AC91" s="2"/>
      <c r="AD91" s="2"/>
      <c r="AE91" s="2"/>
      <c r="AF91" s="2"/>
      <c r="AG91" s="2"/>
      <c r="AH91" s="2"/>
      <c r="AI91" s="2"/>
      <c r="AJ91" s="2"/>
      <c r="AK91" s="2"/>
    </row>
    <row r="92" spans="2:37">
      <c r="B92" s="2"/>
      <c r="C92" s="2"/>
      <c r="D92" s="2"/>
      <c r="E92" s="2"/>
      <c r="F92" s="2"/>
      <c r="G92" s="2"/>
      <c r="H92" s="2"/>
      <c r="I92" s="2"/>
      <c r="J92" s="2"/>
      <c r="K92" s="2"/>
      <c r="L92" s="2"/>
      <c r="M92" s="2"/>
      <c r="N92" s="2"/>
      <c r="O92" s="140" t="str">
        <f t="shared" si="17"/>
        <v>Transportation</v>
      </c>
      <c r="P92" s="207">
        <f t="shared" si="18"/>
        <v>14681</v>
      </c>
      <c r="Q92" s="207">
        <f t="shared" si="19"/>
        <v>7803</v>
      </c>
      <c r="R92" s="207">
        <f t="shared" si="20"/>
        <v>25500</v>
      </c>
      <c r="S92" s="2"/>
      <c r="T92" s="2"/>
      <c r="U92" s="2"/>
      <c r="V92" s="2"/>
      <c r="W92" s="2"/>
      <c r="X92" s="2"/>
      <c r="Y92" s="2"/>
      <c r="Z92" s="2"/>
      <c r="AA92" s="2"/>
      <c r="AB92" s="2"/>
      <c r="AC92" s="2"/>
      <c r="AD92" s="2"/>
      <c r="AE92" s="2"/>
      <c r="AF92" s="2"/>
      <c r="AG92" s="2"/>
      <c r="AH92" s="2"/>
      <c r="AI92" s="2"/>
      <c r="AJ92" s="2"/>
      <c r="AK92" s="2"/>
    </row>
    <row r="93" spans="2:37">
      <c r="B93" s="2"/>
      <c r="C93" s="2"/>
      <c r="D93" s="2"/>
      <c r="E93" s="2"/>
      <c r="F93" s="2"/>
      <c r="G93" s="2"/>
      <c r="H93" s="2"/>
      <c r="I93" s="2"/>
      <c r="J93" s="2"/>
      <c r="K93" s="2"/>
      <c r="L93" s="2"/>
      <c r="M93" s="2"/>
      <c r="N93" s="2"/>
      <c r="O93" s="140" t="str">
        <f t="shared" si="17"/>
        <v/>
      </c>
      <c r="P93" s="207" t="e">
        <f t="shared" si="18"/>
        <v>#N/A</v>
      </c>
      <c r="Q93" s="207" t="e">
        <f t="shared" si="19"/>
        <v>#N/A</v>
      </c>
      <c r="R93" s="207" t="e">
        <f t="shared" si="20"/>
        <v>#N/A</v>
      </c>
      <c r="S93" s="2"/>
      <c r="T93" s="2"/>
      <c r="U93" s="2"/>
      <c r="V93" s="2"/>
      <c r="W93" s="2"/>
      <c r="X93" s="2"/>
      <c r="Y93" s="2"/>
      <c r="Z93" s="2"/>
      <c r="AA93" s="2"/>
      <c r="AB93" s="2"/>
      <c r="AC93" s="2"/>
      <c r="AD93" s="2"/>
      <c r="AE93" s="2"/>
      <c r="AF93" s="2"/>
      <c r="AG93" s="2"/>
      <c r="AH93" s="2"/>
      <c r="AI93" s="2"/>
      <c r="AJ93" s="2"/>
      <c r="AK93" s="2"/>
    </row>
    <row r="94" spans="2:37">
      <c r="B94" s="2"/>
      <c r="C94" s="2"/>
      <c r="D94" s="2"/>
      <c r="E94" s="2"/>
      <c r="F94" s="2"/>
      <c r="G94" s="2"/>
      <c r="H94" s="2"/>
      <c r="I94" s="2"/>
      <c r="J94" s="2"/>
      <c r="K94" s="2"/>
      <c r="L94" s="2"/>
      <c r="M94" s="2"/>
      <c r="N94" s="2"/>
      <c r="O94" s="140" t="str">
        <f t="shared" si="17"/>
        <v>Other Costs</v>
      </c>
      <c r="P94" s="207">
        <f t="shared" si="18"/>
        <v>7174</v>
      </c>
      <c r="Q94" s="207">
        <f t="shared" si="19"/>
        <v>219</v>
      </c>
      <c r="R94" s="207">
        <f t="shared" si="20"/>
        <v>0</v>
      </c>
      <c r="S94" s="2"/>
      <c r="T94" s="2"/>
      <c r="U94" s="2"/>
      <c r="V94" s="2"/>
      <c r="W94" s="2"/>
      <c r="X94" s="2"/>
      <c r="Y94" s="2"/>
      <c r="Z94" s="2"/>
      <c r="AA94" s="2"/>
      <c r="AB94" s="2"/>
      <c r="AC94" s="2"/>
      <c r="AD94" s="2"/>
      <c r="AE94" s="2"/>
      <c r="AF94" s="2"/>
      <c r="AG94" s="2"/>
      <c r="AH94" s="2"/>
      <c r="AI94" s="2"/>
      <c r="AJ94" s="2"/>
      <c r="AK94" s="2"/>
    </row>
    <row r="95" spans="2:37">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row>
    <row r="96" spans="2:37">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row>
    <row r="97" spans="2:37">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row>
    <row r="98" spans="2:37">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row>
    <row r="99" spans="2:37">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row>
    <row r="100" spans="2:37">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row>
    <row r="101" spans="2:37">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row>
    <row r="102" spans="2:37">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row>
    <row r="103" spans="2:37">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c r="AK103" s="2"/>
    </row>
    <row r="104" spans="2:37">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c r="AJ104" s="2"/>
      <c r="AK104" s="2"/>
    </row>
    <row r="105" spans="2:37">
      <c r="B105" s="2"/>
      <c r="C105" s="2"/>
      <c r="D105" s="2"/>
      <c r="E105" s="2"/>
      <c r="F105" s="2"/>
      <c r="G105" s="2"/>
      <c r="H105" s="2"/>
      <c r="I105" s="2"/>
      <c r="J105" s="2"/>
      <c r="K105" s="2"/>
      <c r="L105" s="2"/>
      <c r="M105" s="2"/>
      <c r="N105" s="2"/>
      <c r="O105" s="2" t="s">
        <v>22</v>
      </c>
      <c r="Q105" s="2"/>
      <c r="R105" s="2"/>
      <c r="S105" s="2"/>
      <c r="T105" s="2"/>
      <c r="U105" s="2"/>
      <c r="V105" s="2"/>
      <c r="W105" s="2"/>
      <c r="X105" s="2"/>
      <c r="Y105" s="2"/>
      <c r="Z105" s="2"/>
      <c r="AA105" s="2"/>
      <c r="AB105" s="2"/>
      <c r="AC105" s="2"/>
      <c r="AD105" s="2"/>
      <c r="AE105" s="2"/>
      <c r="AF105" s="2"/>
      <c r="AG105" s="2"/>
      <c r="AH105" s="2"/>
      <c r="AI105" s="2"/>
      <c r="AJ105" s="2"/>
      <c r="AK105" s="2"/>
    </row>
    <row r="106" spans="2:37">
      <c r="B106" s="2"/>
      <c r="C106" s="2"/>
      <c r="D106" s="2"/>
      <c r="E106" s="2"/>
      <c r="F106" s="2"/>
      <c r="G106" s="2"/>
      <c r="H106" s="2"/>
      <c r="I106" s="2"/>
      <c r="J106" s="2"/>
      <c r="K106" s="2"/>
      <c r="L106" s="2"/>
      <c r="M106" s="2"/>
      <c r="N106" s="2"/>
      <c r="O106" s="2"/>
      <c r="P106" s="82" t="str">
        <f>I4</f>
        <v>2025-2026</v>
      </c>
      <c r="Q106" s="2"/>
      <c r="R106" s="2"/>
      <c r="S106" s="2"/>
      <c r="T106" s="2"/>
      <c r="U106" s="2"/>
      <c r="V106" s="2"/>
      <c r="W106" s="2"/>
      <c r="X106" s="2"/>
      <c r="Y106" s="2"/>
      <c r="Z106" s="2"/>
      <c r="AA106" s="2"/>
      <c r="AB106" s="2"/>
      <c r="AC106" s="2"/>
      <c r="AD106" s="2"/>
      <c r="AE106" s="2"/>
      <c r="AF106" s="2"/>
      <c r="AG106" s="2"/>
      <c r="AH106" s="2"/>
      <c r="AI106" s="2"/>
      <c r="AJ106" s="2"/>
      <c r="AK106" s="2"/>
    </row>
    <row r="107" spans="2:37">
      <c r="B107" s="2"/>
      <c r="C107" s="2"/>
      <c r="D107" s="2"/>
      <c r="E107" s="2"/>
      <c r="F107" s="2"/>
      <c r="G107" s="2"/>
      <c r="H107" s="2"/>
      <c r="I107" s="2"/>
      <c r="J107" s="2"/>
      <c r="K107" s="2"/>
      <c r="L107" s="2"/>
      <c r="M107" s="2"/>
      <c r="N107" s="2"/>
      <c r="O107" s="140" t="str">
        <f t="shared" ref="O107:O113" si="21">$B67&amp;": "&amp;IFERROR(IF(I67/$I$75&gt;=0.01,P107*100,IF(AND(I67/$I$75&lt;0.01,I67/$I$75&gt;0),LEFT(J67,2),0)),0)&amp;"%"</f>
        <v>Instruction: 62%</v>
      </c>
      <c r="P107" s="210">
        <f t="shared" ref="P107:P113" si="22">IF(I67/$I$75&lt;0.01,#N/A,$J67)</f>
        <v>0.62</v>
      </c>
      <c r="Q107" s="140" t="str">
        <f>LEFT(O107,(FIND(":",O107)-1))</f>
        <v>Instruction</v>
      </c>
      <c r="R107" s="2"/>
      <c r="S107" s="2"/>
      <c r="T107" s="2"/>
      <c r="U107" s="2"/>
      <c r="V107" s="2"/>
      <c r="W107" s="2"/>
      <c r="X107" s="2"/>
      <c r="Y107" s="2"/>
      <c r="Z107" s="2"/>
      <c r="AA107" s="2"/>
      <c r="AB107" s="2"/>
      <c r="AC107" s="2"/>
      <c r="AD107" s="2"/>
      <c r="AE107" s="2"/>
      <c r="AF107" s="2"/>
      <c r="AG107" s="2"/>
      <c r="AH107" s="2"/>
      <c r="AI107" s="2"/>
      <c r="AJ107" s="2"/>
      <c r="AK107" s="2"/>
    </row>
    <row r="108" spans="2:37">
      <c r="B108" s="2"/>
      <c r="C108" s="2"/>
      <c r="D108" s="2"/>
      <c r="E108" s="2"/>
      <c r="F108" s="2"/>
      <c r="G108" s="2"/>
      <c r="H108" s="2"/>
      <c r="I108" s="2"/>
      <c r="J108" s="2"/>
      <c r="K108" s="2"/>
      <c r="L108" s="2"/>
      <c r="M108" s="2"/>
      <c r="N108" s="2"/>
      <c r="O108" s="140" t="str">
        <f t="shared" si="21"/>
        <v>Student Support: 0%</v>
      </c>
      <c r="P108" s="210" t="e">
        <f t="shared" si="22"/>
        <v>#N/A</v>
      </c>
      <c r="Q108" s="140" t="str">
        <f t="shared" ref="Q108:Q114" si="23">LEFT(O108,(FIND(":",O108)-1))</f>
        <v>Student Support</v>
      </c>
      <c r="R108" s="2"/>
      <c r="S108" s="2"/>
      <c r="T108" s="2"/>
      <c r="U108" s="2"/>
      <c r="V108" s="2"/>
      <c r="W108" s="2"/>
      <c r="X108" s="2"/>
      <c r="Y108" s="2"/>
      <c r="Z108" s="2"/>
      <c r="AA108" s="2"/>
      <c r="AB108" s="2"/>
      <c r="AC108" s="2"/>
      <c r="AD108" s="2"/>
      <c r="AE108" s="2"/>
      <c r="AF108" s="2"/>
      <c r="AG108" s="2"/>
      <c r="AH108" s="2"/>
      <c r="AI108" s="2"/>
      <c r="AJ108" s="2"/>
      <c r="AK108" s="2"/>
    </row>
    <row r="109" spans="2:37">
      <c r="B109" s="2"/>
      <c r="C109" s="2"/>
      <c r="D109" s="2"/>
      <c r="E109" s="2"/>
      <c r="F109" s="2"/>
      <c r="G109" s="2"/>
      <c r="H109" s="2"/>
      <c r="I109" s="2"/>
      <c r="J109" s="2"/>
      <c r="K109" s="2"/>
      <c r="L109" s="2"/>
      <c r="M109" s="2"/>
      <c r="N109" s="2"/>
      <c r="O109" s="140" t="str">
        <f t="shared" si="21"/>
        <v>Instructional Support: 0%</v>
      </c>
      <c r="P109" s="210" t="e">
        <f t="shared" si="22"/>
        <v>#N/A</v>
      </c>
      <c r="Q109" s="140" t="str">
        <f t="shared" si="23"/>
        <v>Instructional Support</v>
      </c>
      <c r="R109" s="2"/>
      <c r="S109" s="2"/>
      <c r="T109" s="2"/>
      <c r="U109" s="2"/>
      <c r="V109" s="2"/>
      <c r="W109" s="2"/>
      <c r="X109" s="2"/>
      <c r="Y109" s="2"/>
      <c r="Z109" s="2"/>
      <c r="AA109" s="2"/>
      <c r="AB109" s="2"/>
      <c r="AC109" s="2"/>
      <c r="AD109" s="2"/>
      <c r="AE109" s="2"/>
      <c r="AF109" s="2"/>
      <c r="AG109" s="2"/>
      <c r="AH109" s="2"/>
      <c r="AI109" s="2"/>
      <c r="AJ109" s="2"/>
      <c r="AK109" s="2"/>
    </row>
    <row r="110" spans="2:37">
      <c r="B110" s="2"/>
      <c r="C110" s="2"/>
      <c r="D110" s="2"/>
      <c r="E110" s="2"/>
      <c r="F110" s="2"/>
      <c r="G110" s="2"/>
      <c r="H110" s="2"/>
      <c r="I110" s="2"/>
      <c r="J110" s="2"/>
      <c r="K110" s="2"/>
      <c r="L110" s="2"/>
      <c r="M110" s="2"/>
      <c r="N110" s="2"/>
      <c r="O110" s="140" t="str">
        <f t="shared" si="21"/>
        <v>Administration &amp; Support: 23%</v>
      </c>
      <c r="P110" s="210">
        <f t="shared" si="22"/>
        <v>0.23</v>
      </c>
      <c r="Q110" s="140" t="str">
        <f t="shared" si="23"/>
        <v>Administration &amp; Support</v>
      </c>
      <c r="R110" s="2"/>
      <c r="S110" s="2"/>
      <c r="T110" s="2"/>
      <c r="U110" s="2"/>
      <c r="V110" s="2"/>
      <c r="W110" s="2"/>
      <c r="X110" s="2"/>
      <c r="Y110" s="2"/>
      <c r="Z110" s="2"/>
      <c r="AA110" s="2"/>
      <c r="AB110" s="2"/>
      <c r="AC110" s="2"/>
      <c r="AD110" s="2"/>
      <c r="AE110" s="2"/>
      <c r="AF110" s="2"/>
      <c r="AG110" s="2"/>
      <c r="AH110" s="2"/>
      <c r="AI110" s="2"/>
      <c r="AJ110" s="2"/>
      <c r="AK110" s="2"/>
    </row>
    <row r="111" spans="2:37">
      <c r="B111" s="2"/>
      <c r="C111" s="2"/>
      <c r="D111" s="2"/>
      <c r="E111" s="2"/>
      <c r="F111" s="2"/>
      <c r="G111" s="2"/>
      <c r="H111" s="2"/>
      <c r="I111" s="2"/>
      <c r="J111" s="2"/>
      <c r="K111" s="2"/>
      <c r="L111" s="2"/>
      <c r="M111" s="2"/>
      <c r="N111" s="2"/>
      <c r="O111" s="140" t="str">
        <f t="shared" si="21"/>
        <v>Operations &amp; Maintenance: 12%</v>
      </c>
      <c r="P111" s="210">
        <f t="shared" si="22"/>
        <v>0.12</v>
      </c>
      <c r="Q111" s="140" t="str">
        <f t="shared" si="23"/>
        <v>Operations &amp; Maintenance</v>
      </c>
      <c r="R111" s="2"/>
      <c r="S111" s="2"/>
      <c r="T111" s="2"/>
      <c r="U111" s="2"/>
      <c r="V111" s="2"/>
      <c r="W111" s="2"/>
      <c r="X111" s="2"/>
      <c r="Y111" s="2"/>
      <c r="Z111" s="2"/>
      <c r="AA111" s="2"/>
      <c r="AB111" s="2"/>
      <c r="AC111" s="2"/>
      <c r="AD111" s="2"/>
      <c r="AE111" s="2"/>
      <c r="AF111" s="2"/>
      <c r="AG111" s="2"/>
      <c r="AH111" s="2"/>
      <c r="AI111" s="2"/>
      <c r="AJ111" s="2"/>
      <c r="AK111" s="2"/>
    </row>
    <row r="112" spans="2:37">
      <c r="B112" s="2"/>
      <c r="C112" s="2"/>
      <c r="D112" s="2"/>
      <c r="E112" s="2"/>
      <c r="F112" s="2"/>
      <c r="G112" s="2"/>
      <c r="H112" s="2"/>
      <c r="I112" s="2"/>
      <c r="J112" s="2"/>
      <c r="K112" s="2"/>
      <c r="L112" s="2"/>
      <c r="M112" s="2"/>
      <c r="N112" s="2"/>
      <c r="O112" s="140" t="str">
        <f t="shared" si="21"/>
        <v>Transportation: 3%</v>
      </c>
      <c r="P112" s="210">
        <f t="shared" si="22"/>
        <v>0.03</v>
      </c>
      <c r="Q112" s="140" t="str">
        <f t="shared" si="23"/>
        <v>Transportation</v>
      </c>
      <c r="R112" s="2"/>
      <c r="S112" s="2"/>
      <c r="T112" s="2"/>
      <c r="U112" s="2"/>
      <c r="V112" s="2"/>
      <c r="W112" s="2"/>
      <c r="X112" s="2"/>
      <c r="Y112" s="2"/>
      <c r="Z112" s="2"/>
      <c r="AA112" s="2"/>
      <c r="AB112" s="2"/>
      <c r="AC112" s="2"/>
      <c r="AD112" s="2"/>
      <c r="AE112" s="2"/>
      <c r="AF112" s="2"/>
      <c r="AG112" s="2"/>
      <c r="AH112" s="2"/>
      <c r="AI112" s="2"/>
      <c r="AJ112" s="2"/>
      <c r="AK112" s="2"/>
    </row>
    <row r="113" spans="2:37">
      <c r="B113" s="2"/>
      <c r="C113" s="2"/>
      <c r="D113" s="2"/>
      <c r="E113" s="2"/>
      <c r="F113" s="2"/>
      <c r="G113" s="2"/>
      <c r="H113" s="2"/>
      <c r="I113" s="2"/>
      <c r="J113" s="2"/>
      <c r="K113" s="2"/>
      <c r="L113" s="2"/>
      <c r="M113" s="2"/>
      <c r="N113" s="2"/>
      <c r="O113" s="140" t="str">
        <f t="shared" si="21"/>
        <v>Capital Improvements: 0%</v>
      </c>
      <c r="P113" s="210" t="e">
        <f t="shared" si="22"/>
        <v>#N/A</v>
      </c>
      <c r="Q113" s="140" t="str">
        <f t="shared" si="23"/>
        <v>Capital Improvements</v>
      </c>
      <c r="R113" s="2"/>
      <c r="S113" s="2"/>
      <c r="T113" s="2"/>
      <c r="U113" s="2"/>
      <c r="V113" s="2"/>
      <c r="W113" s="2"/>
      <c r="X113" s="2"/>
      <c r="Y113" s="2"/>
      <c r="Z113" s="2"/>
      <c r="AA113" s="2"/>
      <c r="AB113" s="2"/>
      <c r="AC113" s="2"/>
      <c r="AD113" s="2"/>
      <c r="AE113" s="2"/>
      <c r="AF113" s="2"/>
      <c r="AG113" s="2"/>
      <c r="AH113" s="2"/>
      <c r="AI113" s="2"/>
      <c r="AJ113" s="2"/>
      <c r="AK113" s="2"/>
    </row>
    <row r="114" spans="2:37">
      <c r="B114" s="2"/>
      <c r="C114" s="2"/>
      <c r="D114" s="2"/>
      <c r="E114" s="2"/>
      <c r="F114" s="2"/>
      <c r="G114" s="2"/>
      <c r="H114" s="2"/>
      <c r="I114" s="2"/>
      <c r="J114" s="2"/>
      <c r="K114" s="2"/>
      <c r="L114" s="2"/>
      <c r="M114" s="2"/>
      <c r="N114" s="2"/>
      <c r="O114" s="140" t="str">
        <f>$B74&amp;": "&amp;IFERROR(IF(I74/$I$75&gt;=0.01,P114*100,IF(AND(I74/$I$75&lt;0.01,I74/$I$75&gt;0),LEFT(J74,2),0)),0)&amp;"%"</f>
        <v>Other Costs: 0%</v>
      </c>
      <c r="P114" s="210" t="e">
        <f>IF(I74/$I$75&lt;0.01,#N/A,$J74)</f>
        <v>#N/A</v>
      </c>
      <c r="Q114" s="140" t="str">
        <f t="shared" si="23"/>
        <v>Other Costs</v>
      </c>
      <c r="R114" s="2"/>
      <c r="S114" s="2"/>
      <c r="T114" s="2"/>
      <c r="U114" s="2"/>
      <c r="V114" s="2"/>
      <c r="W114" s="2"/>
      <c r="X114" s="2"/>
      <c r="Y114" s="2"/>
      <c r="Z114" s="2"/>
      <c r="AA114" s="2"/>
      <c r="AB114" s="2"/>
      <c r="AC114" s="2"/>
      <c r="AD114" s="2"/>
      <c r="AE114" s="2"/>
      <c r="AF114" s="2"/>
      <c r="AG114" s="2"/>
      <c r="AH114" s="2"/>
      <c r="AI114" s="2"/>
      <c r="AJ114" s="2"/>
      <c r="AK114" s="2"/>
    </row>
    <row r="115" spans="2:37">
      <c r="B115" s="2"/>
      <c r="C115" s="2"/>
      <c r="D115" s="2"/>
      <c r="E115" s="2"/>
      <c r="F115" s="2"/>
      <c r="G115" s="2"/>
      <c r="H115" s="2"/>
      <c r="I115" s="2"/>
      <c r="J115" s="2"/>
      <c r="K115" s="2"/>
      <c r="L115" s="2"/>
      <c r="M115" s="2"/>
      <c r="N115" s="2"/>
      <c r="R115" s="2"/>
      <c r="S115" s="2"/>
      <c r="T115" s="2"/>
      <c r="U115" s="2"/>
      <c r="V115" s="2"/>
      <c r="W115" s="2"/>
      <c r="X115" s="2"/>
      <c r="Y115" s="2"/>
      <c r="Z115" s="2"/>
      <c r="AA115" s="2"/>
      <c r="AB115" s="2"/>
      <c r="AC115" s="2"/>
      <c r="AD115" s="2"/>
      <c r="AE115" s="2"/>
      <c r="AF115" s="2"/>
      <c r="AG115" s="2"/>
      <c r="AH115" s="2"/>
      <c r="AI115" s="2"/>
      <c r="AJ115" s="2"/>
      <c r="AK115" s="2"/>
    </row>
    <row r="116" spans="2:37">
      <c r="B116" s="2"/>
      <c r="C116" s="2"/>
      <c r="D116" s="2"/>
      <c r="E116" s="2"/>
      <c r="F116" s="2"/>
      <c r="G116" s="2"/>
      <c r="H116" s="2"/>
      <c r="I116" s="2"/>
      <c r="J116" s="2"/>
      <c r="K116" s="2"/>
      <c r="L116" s="2"/>
      <c r="M116" s="2"/>
      <c r="N116" s="2"/>
      <c r="R116" s="2"/>
      <c r="S116" s="2"/>
      <c r="T116" s="2"/>
      <c r="U116" s="2"/>
      <c r="V116" s="2"/>
      <c r="W116" s="2"/>
      <c r="X116" s="2"/>
      <c r="Y116" s="2"/>
      <c r="Z116" s="2"/>
      <c r="AA116" s="2"/>
      <c r="AB116" s="2"/>
      <c r="AC116" s="2"/>
      <c r="AD116" s="2"/>
      <c r="AE116" s="2"/>
      <c r="AF116" s="2"/>
      <c r="AG116" s="2"/>
      <c r="AH116" s="2"/>
      <c r="AI116" s="2"/>
      <c r="AJ116" s="2"/>
      <c r="AK116" s="2"/>
    </row>
    <row r="117" spans="2:37">
      <c r="B117" s="2"/>
      <c r="C117" s="2"/>
      <c r="D117" s="2"/>
      <c r="E117" s="2"/>
      <c r="F117" s="2"/>
      <c r="G117" s="2"/>
      <c r="H117" s="2"/>
      <c r="I117" s="2"/>
      <c r="J117" s="2"/>
      <c r="K117" s="2"/>
      <c r="L117" s="2"/>
      <c r="M117" s="2"/>
      <c r="N117" s="2"/>
      <c r="R117" s="2"/>
      <c r="S117" s="2"/>
      <c r="T117" s="2"/>
      <c r="U117" s="2"/>
      <c r="V117" s="2"/>
      <c r="W117" s="2"/>
      <c r="X117" s="2"/>
      <c r="Y117" s="2"/>
      <c r="Z117" s="2"/>
      <c r="AA117" s="2"/>
      <c r="AB117" s="2"/>
      <c r="AC117" s="2"/>
      <c r="AD117" s="2"/>
      <c r="AE117" s="2"/>
      <c r="AF117" s="2"/>
      <c r="AG117" s="2"/>
      <c r="AH117" s="2"/>
      <c r="AI117" s="2"/>
      <c r="AJ117" s="2"/>
      <c r="AK117" s="2"/>
    </row>
    <row r="118" spans="2:37">
      <c r="B118" s="2"/>
      <c r="C118" s="2"/>
      <c r="D118" s="2"/>
      <c r="E118" s="2"/>
      <c r="F118" s="2"/>
      <c r="G118" s="2"/>
      <c r="H118" s="2"/>
      <c r="I118" s="2"/>
      <c r="J118" s="2"/>
      <c r="K118" s="2"/>
      <c r="L118" s="2"/>
      <c r="M118" s="2"/>
      <c r="N118" s="2"/>
      <c r="R118" s="2"/>
      <c r="S118" s="2"/>
      <c r="T118" s="2"/>
      <c r="U118" s="2"/>
      <c r="V118" s="2"/>
      <c r="W118" s="2"/>
      <c r="X118" s="2"/>
      <c r="Y118" s="2"/>
      <c r="Z118" s="2"/>
      <c r="AA118" s="2"/>
      <c r="AB118" s="2"/>
      <c r="AC118" s="2"/>
      <c r="AD118" s="2"/>
      <c r="AE118" s="2"/>
      <c r="AF118" s="2"/>
      <c r="AG118" s="2"/>
      <c r="AH118" s="2"/>
      <c r="AI118" s="2"/>
      <c r="AJ118" s="2"/>
      <c r="AK118" s="2"/>
    </row>
    <row r="119" spans="2:37">
      <c r="B119" s="2"/>
      <c r="C119" s="2"/>
      <c r="D119" s="2"/>
      <c r="E119" s="2"/>
      <c r="F119" s="2"/>
      <c r="G119" s="2"/>
      <c r="H119" s="2"/>
      <c r="I119" s="2"/>
      <c r="J119" s="2"/>
      <c r="K119" s="2"/>
      <c r="L119" s="2"/>
      <c r="M119" s="2"/>
      <c r="N119" s="2"/>
      <c r="R119" s="2"/>
      <c r="S119" s="2"/>
      <c r="T119" s="2"/>
      <c r="U119" s="2"/>
      <c r="V119" s="2"/>
      <c r="W119" s="2"/>
      <c r="X119" s="2"/>
      <c r="Y119" s="2"/>
      <c r="Z119" s="2"/>
      <c r="AA119" s="2"/>
      <c r="AB119" s="2"/>
      <c r="AC119" s="2"/>
      <c r="AD119" s="2"/>
      <c r="AE119" s="2"/>
      <c r="AF119" s="2"/>
      <c r="AG119" s="2"/>
      <c r="AH119" s="2"/>
      <c r="AI119" s="2"/>
      <c r="AJ119" s="2"/>
      <c r="AK119" s="2"/>
    </row>
    <row r="120" spans="2:37">
      <c r="B120" s="2"/>
      <c r="C120" s="2"/>
      <c r="D120" s="2"/>
      <c r="E120" s="2"/>
      <c r="F120" s="2"/>
      <c r="G120" s="2"/>
      <c r="H120" s="2"/>
      <c r="I120" s="2"/>
      <c r="J120" s="2"/>
      <c r="K120" s="2"/>
      <c r="L120" s="2"/>
      <c r="M120" s="2"/>
      <c r="N120" s="2"/>
      <c r="R120" s="2"/>
      <c r="S120" s="2"/>
      <c r="T120" s="2"/>
      <c r="U120" s="2"/>
      <c r="V120" s="2"/>
      <c r="W120" s="2"/>
      <c r="X120" s="2"/>
      <c r="Y120" s="2"/>
      <c r="Z120" s="2"/>
      <c r="AA120" s="2"/>
      <c r="AB120" s="2"/>
      <c r="AC120" s="2"/>
      <c r="AD120" s="2"/>
      <c r="AE120" s="2"/>
      <c r="AF120" s="2"/>
      <c r="AG120" s="2"/>
      <c r="AH120" s="2"/>
      <c r="AI120" s="2"/>
      <c r="AJ120" s="2"/>
      <c r="AK120" s="2"/>
    </row>
    <row r="121" spans="2:37">
      <c r="B121" s="2"/>
      <c r="C121" s="2"/>
      <c r="D121" s="2"/>
      <c r="E121" s="2"/>
      <c r="F121" s="2"/>
      <c r="G121" s="2"/>
      <c r="H121" s="2"/>
      <c r="I121" s="2"/>
      <c r="J121" s="2"/>
      <c r="K121" s="2"/>
      <c r="L121" s="2"/>
      <c r="M121" s="2"/>
      <c r="N121" s="2"/>
      <c r="R121" s="2"/>
      <c r="S121" s="2"/>
      <c r="T121" s="2"/>
      <c r="U121" s="2"/>
      <c r="V121" s="2"/>
      <c r="W121" s="2"/>
      <c r="X121" s="2"/>
      <c r="Y121" s="2"/>
      <c r="Z121" s="2"/>
      <c r="AA121" s="2"/>
      <c r="AB121" s="2"/>
      <c r="AC121" s="2"/>
      <c r="AD121" s="2"/>
      <c r="AE121" s="2"/>
      <c r="AF121" s="2"/>
      <c r="AG121" s="2"/>
      <c r="AH121" s="2"/>
      <c r="AI121" s="2"/>
      <c r="AJ121" s="2"/>
      <c r="AK121" s="2"/>
    </row>
    <row r="122" spans="2:37">
      <c r="B122" s="2"/>
      <c r="C122" s="2"/>
      <c r="D122" s="2"/>
      <c r="E122" s="2"/>
      <c r="F122" s="2"/>
      <c r="G122" s="2"/>
      <c r="H122" s="2"/>
      <c r="I122" s="2"/>
      <c r="J122" s="2"/>
      <c r="K122" s="2"/>
      <c r="L122" s="2"/>
      <c r="M122" s="2"/>
      <c r="N122" s="2"/>
      <c r="R122" s="2"/>
      <c r="S122" s="2"/>
      <c r="T122" s="2"/>
      <c r="U122" s="2"/>
      <c r="V122" s="2"/>
      <c r="W122" s="2"/>
      <c r="X122" s="2"/>
      <c r="Y122" s="2"/>
      <c r="Z122" s="2"/>
      <c r="AA122" s="2"/>
      <c r="AB122" s="2"/>
      <c r="AC122" s="2"/>
      <c r="AD122" s="2"/>
      <c r="AE122" s="2"/>
      <c r="AF122" s="2"/>
      <c r="AG122" s="2"/>
      <c r="AH122" s="2"/>
      <c r="AI122" s="2"/>
      <c r="AJ122" s="2"/>
      <c r="AK122" s="2"/>
    </row>
    <row r="123" spans="2:37">
      <c r="B123" s="2"/>
      <c r="C123" s="2"/>
      <c r="D123" s="2"/>
      <c r="E123" s="2"/>
      <c r="F123" s="2"/>
      <c r="G123" s="2"/>
      <c r="H123" s="2"/>
      <c r="I123" s="2"/>
      <c r="J123" s="2"/>
      <c r="K123" s="2"/>
      <c r="L123" s="2"/>
      <c r="M123" s="2"/>
      <c r="N123" s="2"/>
      <c r="R123" s="2"/>
      <c r="S123" s="2"/>
      <c r="T123" s="2"/>
      <c r="U123" s="2"/>
      <c r="V123" s="2"/>
      <c r="W123" s="2"/>
      <c r="X123" s="2"/>
      <c r="Y123" s="2"/>
      <c r="Z123" s="2"/>
      <c r="AA123" s="2"/>
      <c r="AB123" s="2"/>
      <c r="AC123" s="2"/>
      <c r="AD123" s="2"/>
      <c r="AE123" s="2"/>
      <c r="AF123" s="2"/>
      <c r="AG123" s="2"/>
      <c r="AH123" s="2"/>
      <c r="AI123" s="2"/>
      <c r="AJ123" s="2"/>
      <c r="AK123" s="2"/>
    </row>
    <row r="124" spans="2:37">
      <c r="B124" s="2"/>
      <c r="C124" s="2"/>
      <c r="D124" s="2"/>
      <c r="E124" s="2"/>
      <c r="F124" s="2"/>
      <c r="G124" s="2"/>
      <c r="H124" s="2"/>
      <c r="I124" s="2"/>
      <c r="J124" s="2"/>
      <c r="K124" s="2"/>
      <c r="L124" s="2"/>
      <c r="M124" s="2"/>
      <c r="N124" s="2"/>
      <c r="R124" s="2"/>
      <c r="S124" s="2"/>
      <c r="T124" s="2"/>
      <c r="U124" s="2"/>
      <c r="V124" s="2"/>
      <c r="W124" s="2"/>
      <c r="X124" s="2"/>
      <c r="Y124" s="2"/>
      <c r="Z124" s="2"/>
      <c r="AA124" s="2"/>
      <c r="AB124" s="2"/>
      <c r="AC124" s="2"/>
      <c r="AD124" s="2"/>
      <c r="AE124" s="2"/>
      <c r="AF124" s="2"/>
      <c r="AG124" s="2"/>
      <c r="AH124" s="2"/>
      <c r="AI124" s="2"/>
      <c r="AJ124" s="2"/>
      <c r="AK124" s="2"/>
    </row>
    <row r="125" spans="2:37" ht="18">
      <c r="B125" s="249" t="s">
        <v>24</v>
      </c>
      <c r="C125" s="143"/>
      <c r="D125" s="143"/>
      <c r="E125" s="143"/>
      <c r="F125" s="143"/>
      <c r="G125" s="143"/>
      <c r="H125" s="143"/>
      <c r="I125" s="143"/>
      <c r="J125" s="143"/>
      <c r="K125" s="143"/>
      <c r="L125" s="143"/>
      <c r="M125" s="2"/>
      <c r="N125" s="2"/>
      <c r="O125" s="2"/>
      <c r="P125" s="2"/>
      <c r="Q125" s="2"/>
      <c r="R125" s="2"/>
      <c r="S125" s="2"/>
      <c r="T125" s="2"/>
      <c r="U125" s="2"/>
      <c r="V125" s="2"/>
      <c r="W125" s="2"/>
      <c r="X125" s="2"/>
      <c r="Y125" s="2"/>
      <c r="Z125" s="2"/>
      <c r="AA125" s="2"/>
      <c r="AB125" s="2"/>
      <c r="AC125" s="2"/>
      <c r="AD125" s="2"/>
      <c r="AE125" s="2"/>
      <c r="AF125" s="2"/>
      <c r="AG125" s="2"/>
      <c r="AH125" s="2"/>
      <c r="AI125" s="2"/>
      <c r="AJ125" s="2"/>
      <c r="AK125" s="2"/>
    </row>
    <row r="126" spans="2:37" ht="18">
      <c r="B126" s="249" t="s">
        <v>185</v>
      </c>
      <c r="C126" s="143"/>
      <c r="D126" s="143"/>
      <c r="E126" s="143"/>
      <c r="F126" s="143"/>
      <c r="G126" s="143"/>
      <c r="H126" s="143"/>
      <c r="I126" s="143"/>
      <c r="J126" s="143"/>
      <c r="K126" s="143"/>
      <c r="L126" s="143"/>
      <c r="M126" s="2"/>
      <c r="N126" s="2"/>
      <c r="O126" s="2"/>
      <c r="P126" s="2"/>
      <c r="Q126" s="2"/>
      <c r="R126" s="2"/>
      <c r="S126" s="2"/>
      <c r="T126" s="2"/>
      <c r="U126" s="2"/>
      <c r="V126" s="2"/>
      <c r="W126" s="2"/>
      <c r="X126" s="2"/>
      <c r="Y126" s="2"/>
      <c r="Z126" s="2"/>
      <c r="AA126" s="2"/>
      <c r="AB126" s="2"/>
      <c r="AC126" s="2"/>
      <c r="AD126" s="2"/>
      <c r="AE126" s="2"/>
      <c r="AF126" s="2"/>
      <c r="AG126" s="2"/>
      <c r="AH126" s="2"/>
      <c r="AI126" s="2"/>
      <c r="AJ126" s="2"/>
      <c r="AK126" s="2"/>
    </row>
    <row r="127" spans="2:37">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c r="AE127" s="2"/>
      <c r="AF127" s="2"/>
      <c r="AG127" s="2"/>
      <c r="AH127" s="2"/>
      <c r="AI127" s="2"/>
      <c r="AJ127" s="2"/>
      <c r="AK127" s="2"/>
    </row>
    <row r="128" spans="2:37">
      <c r="B128" s="2"/>
      <c r="C128" s="212" t="s">
        <v>1</v>
      </c>
      <c r="D128" s="250"/>
      <c r="E128" s="251" t="s">
        <v>2</v>
      </c>
      <c r="F128" s="252"/>
      <c r="G128" s="251" t="s">
        <v>2</v>
      </c>
      <c r="H128" s="251"/>
      <c r="I128" s="250"/>
      <c r="J128" s="251" t="s">
        <v>2</v>
      </c>
      <c r="K128" s="812"/>
      <c r="L128" s="813"/>
      <c r="M128" s="2"/>
      <c r="N128" s="2"/>
      <c r="O128" s="2"/>
      <c r="P128" s="2"/>
      <c r="Q128" s="2"/>
      <c r="R128" s="2"/>
      <c r="S128" s="2"/>
      <c r="T128" s="2"/>
      <c r="U128" s="2"/>
      <c r="V128" s="2"/>
      <c r="W128" s="2"/>
      <c r="X128" s="2"/>
      <c r="Y128" s="2"/>
      <c r="Z128" s="2"/>
      <c r="AA128" s="2"/>
      <c r="AB128" s="2"/>
      <c r="AC128" s="2"/>
      <c r="AD128" s="2"/>
      <c r="AE128" s="2"/>
      <c r="AF128" s="2"/>
      <c r="AG128" s="2"/>
      <c r="AH128" s="2"/>
      <c r="AI128" s="2"/>
      <c r="AJ128" s="2"/>
      <c r="AK128" s="2"/>
    </row>
    <row r="129" spans="2:37">
      <c r="B129" s="2"/>
      <c r="C129" s="145"/>
      <c r="D129" s="253" t="str">
        <f>D4</f>
        <v>2023-2024</v>
      </c>
      <c r="E129" s="254" t="s">
        <v>3</v>
      </c>
      <c r="F129" s="253" t="str">
        <f>F4</f>
        <v>2024-2025</v>
      </c>
      <c r="G129" s="254" t="s">
        <v>3</v>
      </c>
      <c r="H129" s="254" t="s">
        <v>2</v>
      </c>
      <c r="I129" s="253" t="str">
        <f>I4</f>
        <v>2025-2026</v>
      </c>
      <c r="J129" s="254" t="s">
        <v>3</v>
      </c>
      <c r="K129" s="814" t="s">
        <v>2</v>
      </c>
      <c r="L129" s="815"/>
      <c r="M129" s="2"/>
      <c r="N129" s="2"/>
      <c r="O129" s="2"/>
      <c r="P129" s="2"/>
      <c r="Q129" s="2"/>
      <c r="R129" s="2"/>
      <c r="S129" s="2"/>
      <c r="T129" s="2"/>
      <c r="U129" s="2"/>
      <c r="V129" s="2"/>
      <c r="W129" s="2"/>
      <c r="X129" s="2"/>
      <c r="Y129" s="2"/>
      <c r="Z129" s="2"/>
      <c r="AA129" s="2"/>
      <c r="AB129" s="2"/>
      <c r="AC129" s="2"/>
      <c r="AD129" s="2"/>
      <c r="AE129" s="2"/>
      <c r="AF129" s="2"/>
      <c r="AG129" s="2"/>
      <c r="AH129" s="2"/>
      <c r="AI129" s="2"/>
      <c r="AJ129" s="2"/>
      <c r="AK129" s="2"/>
    </row>
    <row r="130" spans="2:37">
      <c r="B130" s="2"/>
      <c r="C130" s="220" t="s">
        <v>4</v>
      </c>
      <c r="D130" s="255" t="s">
        <v>5</v>
      </c>
      <c r="E130" s="256" t="s">
        <v>143</v>
      </c>
      <c r="F130" s="255" t="s">
        <v>5</v>
      </c>
      <c r="G130" s="256" t="s">
        <v>143</v>
      </c>
      <c r="H130" s="256" t="s">
        <v>144</v>
      </c>
      <c r="I130" s="255" t="s">
        <v>6</v>
      </c>
      <c r="J130" s="255" t="s">
        <v>143</v>
      </c>
      <c r="K130" s="816" t="s">
        <v>144</v>
      </c>
      <c r="L130" s="817"/>
      <c r="M130" s="2"/>
      <c r="N130" s="2"/>
      <c r="O130" s="2"/>
      <c r="P130" s="2"/>
      <c r="Q130" s="2"/>
      <c r="R130" s="2"/>
      <c r="S130" s="2"/>
      <c r="T130" s="2"/>
      <c r="U130" s="2"/>
      <c r="V130" s="2"/>
      <c r="W130" s="2"/>
      <c r="X130" s="2"/>
      <c r="Y130" s="2"/>
      <c r="Z130" s="2"/>
      <c r="AA130" s="2"/>
      <c r="AB130" s="2"/>
      <c r="AC130" s="2"/>
      <c r="AD130" s="2"/>
      <c r="AE130" s="2"/>
      <c r="AF130" s="2"/>
      <c r="AG130" s="2"/>
      <c r="AH130" s="2"/>
      <c r="AI130" s="2"/>
      <c r="AJ130" s="2"/>
      <c r="AK130" s="2"/>
    </row>
    <row r="131" spans="2:37" ht="16.5" customHeight="1">
      <c r="B131" s="257" t="s">
        <v>8</v>
      </c>
      <c r="C131" s="258"/>
      <c r="D131" s="259">
        <f>SUM(D323)</f>
        <v>66546</v>
      </c>
      <c r="E131" s="260">
        <f t="shared" ref="E131:E137" si="24">IF(OR(D$139=0,D131=0),0,IF(D131/D$139&lt;0.001,"&lt;1%",D131/D$139))</f>
        <v>0.17</v>
      </c>
      <c r="F131" s="259">
        <f>SUM(F323)</f>
        <v>0</v>
      </c>
      <c r="G131" s="260">
        <f t="shared" ref="G131:G137" si="25">IF(OR(F$139=0,F131=0),0,IF(F131/F$139&lt;0.001,"&lt;1%",F131/F$139))</f>
        <v>0</v>
      </c>
      <c r="H131" s="260">
        <f t="shared" ref="H131:H140" si="26">IF(D131=0,0,((F131-D131)/D131))</f>
        <v>-1</v>
      </c>
      <c r="I131" s="259">
        <f>SUM(J323)</f>
        <v>13883</v>
      </c>
      <c r="J131" s="260">
        <f t="shared" ref="J131:J137" si="27">IF(OR(I$139=0,I131=0),0,IF(I131/I$139&lt;0.001,"&lt;1%",I131/I$139))</f>
        <v>0.04</v>
      </c>
      <c r="K131" s="818">
        <f t="shared" ref="K131:K140" si="28">IF(F131=0,0,((I131-F131)/F131))</f>
        <v>0</v>
      </c>
      <c r="L131" s="819"/>
      <c r="M131" s="2"/>
      <c r="N131" s="2"/>
      <c r="O131" s="2"/>
      <c r="P131" s="2"/>
      <c r="Q131" s="2"/>
      <c r="R131" s="2"/>
      <c r="S131" s="2"/>
      <c r="T131" s="2"/>
      <c r="U131" s="2"/>
      <c r="V131" s="2"/>
      <c r="W131" s="2"/>
      <c r="X131" s="2"/>
      <c r="Y131" s="2"/>
      <c r="Z131" s="2"/>
      <c r="AA131" s="2"/>
      <c r="AB131" s="2"/>
      <c r="AC131" s="2"/>
      <c r="AD131" s="2"/>
      <c r="AE131" s="2"/>
      <c r="AF131" s="2"/>
      <c r="AG131" s="2"/>
      <c r="AH131" s="2"/>
      <c r="AI131" s="2"/>
      <c r="AJ131" s="2"/>
      <c r="AK131" s="2"/>
    </row>
    <row r="132" spans="2:37" ht="16.5" customHeight="1">
      <c r="B132" s="44" t="s">
        <v>10</v>
      </c>
      <c r="C132" s="44"/>
      <c r="D132" s="226">
        <f>D387</f>
        <v>2063</v>
      </c>
      <c r="E132" s="227">
        <f t="shared" si="24"/>
        <v>0.01</v>
      </c>
      <c r="F132" s="226">
        <f>F387</f>
        <v>0</v>
      </c>
      <c r="G132" s="227">
        <f t="shared" si="25"/>
        <v>0</v>
      </c>
      <c r="H132" s="227">
        <f t="shared" si="26"/>
        <v>-1</v>
      </c>
      <c r="I132" s="226">
        <f>J387</f>
        <v>0</v>
      </c>
      <c r="J132" s="227">
        <f t="shared" si="27"/>
        <v>0</v>
      </c>
      <c r="K132" s="796">
        <f t="shared" si="28"/>
        <v>0</v>
      </c>
      <c r="L132" s="797"/>
      <c r="M132" s="2"/>
      <c r="N132" s="2"/>
      <c r="O132" s="2"/>
      <c r="P132" s="2"/>
      <c r="Q132" s="2"/>
      <c r="R132" s="2"/>
      <c r="S132" s="2"/>
      <c r="T132" s="2"/>
      <c r="U132" s="2"/>
      <c r="V132" s="2"/>
      <c r="W132" s="2"/>
      <c r="X132" s="2"/>
      <c r="Y132" s="2"/>
      <c r="Z132" s="2"/>
      <c r="AA132" s="2"/>
      <c r="AB132" s="2"/>
      <c r="AC132" s="2"/>
      <c r="AD132" s="2"/>
      <c r="AE132" s="2"/>
      <c r="AF132" s="2"/>
      <c r="AG132" s="2"/>
      <c r="AH132" s="2"/>
      <c r="AI132" s="2"/>
      <c r="AJ132" s="2"/>
      <c r="AK132" s="2"/>
    </row>
    <row r="133" spans="2:37" ht="16.5" customHeight="1">
      <c r="B133" s="258" t="s">
        <v>11</v>
      </c>
      <c r="C133" s="258"/>
      <c r="D133" s="259">
        <f>D451</f>
        <v>0</v>
      </c>
      <c r="E133" s="260">
        <f t="shared" si="24"/>
        <v>0</v>
      </c>
      <c r="F133" s="259">
        <f>F451</f>
        <v>195</v>
      </c>
      <c r="G133" s="260" t="str">
        <f t="shared" si="25"/>
        <v>&lt;1%</v>
      </c>
      <c r="H133" s="260">
        <f t="shared" si="26"/>
        <v>0</v>
      </c>
      <c r="I133" s="259">
        <f>J451</f>
        <v>100</v>
      </c>
      <c r="J133" s="260" t="str">
        <f t="shared" si="27"/>
        <v>&lt;1%</v>
      </c>
      <c r="K133" s="810">
        <f t="shared" si="28"/>
        <v>-0.49</v>
      </c>
      <c r="L133" s="811"/>
      <c r="M133" s="2"/>
      <c r="N133" s="2"/>
      <c r="O133" s="2"/>
      <c r="P133" s="2"/>
      <c r="Q133" s="2"/>
      <c r="R133" s="2"/>
      <c r="S133" s="2"/>
      <c r="T133" s="2"/>
      <c r="U133" s="2"/>
      <c r="V133" s="2"/>
      <c r="W133" s="2"/>
      <c r="X133" s="2"/>
      <c r="Y133" s="2"/>
      <c r="Z133" s="2"/>
      <c r="AA133" s="2"/>
      <c r="AB133" s="2"/>
      <c r="AC133" s="2"/>
      <c r="AD133" s="2"/>
      <c r="AE133" s="2"/>
      <c r="AF133" s="2"/>
      <c r="AG133" s="2"/>
      <c r="AH133" s="2"/>
      <c r="AI133" s="2"/>
      <c r="AJ133" s="2"/>
      <c r="AK133" s="2"/>
    </row>
    <row r="134" spans="2:37" ht="16.5" customHeight="1">
      <c r="B134" s="44" t="s">
        <v>131</v>
      </c>
      <c r="C134" s="44"/>
      <c r="D134" s="226">
        <f>D516+D580+D644</f>
        <v>42428</v>
      </c>
      <c r="E134" s="227">
        <f t="shared" si="24"/>
        <v>0.11</v>
      </c>
      <c r="F134" s="226">
        <f>F516+F580+F644</f>
        <v>65094</v>
      </c>
      <c r="G134" s="227">
        <f t="shared" si="25"/>
        <v>0.21</v>
      </c>
      <c r="H134" s="227">
        <f t="shared" si="26"/>
        <v>0.53</v>
      </c>
      <c r="I134" s="226">
        <f>J516+J580+J644</f>
        <v>31150</v>
      </c>
      <c r="J134" s="227">
        <f t="shared" si="27"/>
        <v>0.09</v>
      </c>
      <c r="K134" s="796">
        <f t="shared" si="28"/>
        <v>-0.52</v>
      </c>
      <c r="L134" s="797"/>
      <c r="M134" s="2"/>
      <c r="N134" s="2"/>
      <c r="O134" s="165"/>
      <c r="P134" s="2"/>
      <c r="Q134" s="2"/>
      <c r="R134" s="2"/>
      <c r="S134" s="2"/>
      <c r="T134" s="2"/>
      <c r="U134" s="2"/>
      <c r="V134" s="2"/>
      <c r="W134" s="2"/>
      <c r="AB134" s="2"/>
      <c r="AC134" s="2"/>
      <c r="AD134" s="2"/>
      <c r="AE134" s="2"/>
      <c r="AF134" s="2"/>
      <c r="AG134" s="2"/>
      <c r="AH134" s="2"/>
      <c r="AI134" s="2"/>
      <c r="AJ134" s="2"/>
      <c r="AK134" s="2"/>
    </row>
    <row r="135" spans="2:37" ht="16.5" customHeight="1">
      <c r="B135" s="258" t="s">
        <v>12</v>
      </c>
      <c r="C135" s="258"/>
      <c r="D135" s="259">
        <f>SUM(D708)</f>
        <v>241300</v>
      </c>
      <c r="E135" s="260">
        <f t="shared" si="24"/>
        <v>0.62</v>
      </c>
      <c r="F135" s="259">
        <f>SUM(F708)</f>
        <v>193424</v>
      </c>
      <c r="G135" s="260">
        <f t="shared" si="25"/>
        <v>0.63</v>
      </c>
      <c r="H135" s="260">
        <f t="shared" si="26"/>
        <v>-0.2</v>
      </c>
      <c r="I135" s="259">
        <f>SUM(J708)</f>
        <v>264342</v>
      </c>
      <c r="J135" s="260">
        <f t="shared" si="27"/>
        <v>0.75</v>
      </c>
      <c r="K135" s="810">
        <f t="shared" si="28"/>
        <v>0.37</v>
      </c>
      <c r="L135" s="811"/>
      <c r="M135" s="165"/>
      <c r="N135" s="165"/>
      <c r="O135" s="165"/>
      <c r="P135" s="2"/>
      <c r="Q135" s="2"/>
      <c r="R135" s="2"/>
      <c r="S135" s="2"/>
      <c r="T135" s="2"/>
      <c r="U135" s="2"/>
      <c r="V135" s="2"/>
      <c r="W135" s="2"/>
      <c r="AB135" s="2"/>
      <c r="AC135" s="2"/>
      <c r="AD135" s="2"/>
      <c r="AE135" s="2"/>
      <c r="AF135" s="2"/>
      <c r="AG135" s="2"/>
      <c r="AH135" s="2"/>
      <c r="AI135" s="2"/>
      <c r="AJ135" s="2"/>
      <c r="AK135" s="2"/>
    </row>
    <row r="136" spans="2:37" ht="16.5" customHeight="1">
      <c r="B136" s="44" t="s">
        <v>13</v>
      </c>
      <c r="C136" s="235"/>
      <c r="D136" s="226">
        <f>D772</f>
        <v>37624</v>
      </c>
      <c r="E136" s="227">
        <f t="shared" si="24"/>
        <v>0.1</v>
      </c>
      <c r="F136" s="226">
        <f>F772</f>
        <v>48200</v>
      </c>
      <c r="G136" s="227">
        <f t="shared" si="25"/>
        <v>0.16</v>
      </c>
      <c r="H136" s="227">
        <f t="shared" si="26"/>
        <v>0.28000000000000003</v>
      </c>
      <c r="I136" s="226">
        <f>J772</f>
        <v>44099</v>
      </c>
      <c r="J136" s="227">
        <f t="shared" si="27"/>
        <v>0.12</v>
      </c>
      <c r="K136" s="796">
        <f t="shared" si="28"/>
        <v>-0.09</v>
      </c>
      <c r="L136" s="797"/>
      <c r="M136" s="165"/>
      <c r="N136" s="165"/>
      <c r="O136" s="165"/>
      <c r="P136" s="2"/>
      <c r="Q136" s="2"/>
      <c r="R136" s="2"/>
      <c r="S136" s="2"/>
      <c r="T136" s="2"/>
      <c r="U136" s="2"/>
      <c r="V136" s="2"/>
      <c r="W136" s="2"/>
      <c r="AB136" s="2"/>
      <c r="AC136" s="2"/>
      <c r="AD136" s="2"/>
      <c r="AE136" s="2"/>
      <c r="AF136" s="2"/>
      <c r="AG136" s="2"/>
      <c r="AH136" s="2"/>
      <c r="AI136" s="2"/>
      <c r="AJ136" s="2"/>
      <c r="AK136" s="2"/>
    </row>
    <row r="137" spans="2:37" ht="16.5" customHeight="1">
      <c r="B137" s="258" t="s">
        <v>15</v>
      </c>
      <c r="C137" s="261"/>
      <c r="D137" s="259">
        <f>D1029</f>
        <v>0</v>
      </c>
      <c r="E137" s="260">
        <f t="shared" si="24"/>
        <v>0</v>
      </c>
      <c r="F137" s="262">
        <f>F1029</f>
        <v>0</v>
      </c>
      <c r="G137" s="260">
        <f t="shared" si="25"/>
        <v>0</v>
      </c>
      <c r="H137" s="260">
        <f t="shared" si="26"/>
        <v>0</v>
      </c>
      <c r="I137" s="262">
        <f>J1029</f>
        <v>0</v>
      </c>
      <c r="J137" s="260">
        <f t="shared" si="27"/>
        <v>0</v>
      </c>
      <c r="K137" s="810">
        <f t="shared" si="28"/>
        <v>0</v>
      </c>
      <c r="L137" s="811"/>
      <c r="M137" s="165"/>
      <c r="N137" s="165"/>
      <c r="O137" s="165"/>
      <c r="P137" s="2"/>
      <c r="Q137" s="2"/>
      <c r="R137" s="2"/>
      <c r="S137" s="2"/>
      <c r="T137" s="2"/>
      <c r="U137" s="2"/>
      <c r="V137" s="2"/>
      <c r="W137" s="2"/>
      <c r="AB137" s="2"/>
      <c r="AC137" s="2"/>
      <c r="AD137" s="2"/>
      <c r="AE137" s="2"/>
      <c r="AF137" s="2"/>
      <c r="AG137" s="2"/>
      <c r="AH137" s="2"/>
      <c r="AI137" s="2"/>
      <c r="AJ137" s="2"/>
      <c r="AK137" s="2"/>
    </row>
    <row r="138" spans="2:37" ht="16.5" customHeight="1" thickBot="1">
      <c r="B138" s="237" t="s">
        <v>17</v>
      </c>
      <c r="C138" s="237"/>
      <c r="D138" s="238">
        <f>D964+D836</f>
        <v>0</v>
      </c>
      <c r="E138" s="172">
        <f>IF(OR(D$139=0,D138=0),0,IF(D138/D$139&lt;0.001,"&lt;1%",D138/D$139))</f>
        <v>0</v>
      </c>
      <c r="F138" s="238">
        <f>F964+F836</f>
        <v>0</v>
      </c>
      <c r="G138" s="172">
        <f>IF(OR(F$139=0,F138=0),0,IF(F138/F$139&lt;0.001,"&lt;1%",F138/F$139))</f>
        <v>0</v>
      </c>
      <c r="H138" s="172">
        <f t="shared" si="26"/>
        <v>0</v>
      </c>
      <c r="I138" s="238">
        <f>J964+J836</f>
        <v>0</v>
      </c>
      <c r="J138" s="172">
        <f>IF(OR(I$139=0,I138=0),0,IF(I138/I$139&lt;0.001,"&lt;1%",I138/I$139))</f>
        <v>0</v>
      </c>
      <c r="K138" s="784">
        <f t="shared" si="28"/>
        <v>0</v>
      </c>
      <c r="L138" s="785"/>
      <c r="M138" s="165"/>
      <c r="N138" s="165"/>
      <c r="O138" s="2"/>
      <c r="P138" s="2"/>
      <c r="Q138" s="2"/>
      <c r="R138" s="2"/>
      <c r="S138" s="2"/>
      <c r="T138" s="2"/>
      <c r="U138" s="2"/>
      <c r="V138" s="2"/>
      <c r="W138" s="2"/>
      <c r="AB138" s="2"/>
      <c r="AC138" s="2"/>
      <c r="AD138" s="2"/>
      <c r="AE138" s="2"/>
      <c r="AF138" s="2"/>
      <c r="AG138" s="2"/>
      <c r="AH138" s="2"/>
      <c r="AI138" s="2"/>
      <c r="AJ138" s="2"/>
      <c r="AK138" s="2"/>
    </row>
    <row r="139" spans="2:37" ht="16.5" customHeight="1" thickTop="1">
      <c r="B139" s="263" t="s">
        <v>23</v>
      </c>
      <c r="C139" s="263"/>
      <c r="D139" s="264">
        <f>SUM(D131:D138)</f>
        <v>389961</v>
      </c>
      <c r="E139" s="265">
        <f>SUM(D131/D139,D132/D139,D133/D139,D134/D139,D135/D139,D136/D139,D137/D139,D138/D139)</f>
        <v>1</v>
      </c>
      <c r="F139" s="264">
        <f>SUM(F131:F138)</f>
        <v>306913</v>
      </c>
      <c r="G139" s="265">
        <f>SUM(F131/F139,F132/F139,F133/F139,F134/F139,F135/F139,F136/F139,F137/F139,F138/F139)</f>
        <v>1</v>
      </c>
      <c r="H139" s="265">
        <f t="shared" si="26"/>
        <v>-0.21</v>
      </c>
      <c r="I139" s="264">
        <f>SUM(I131:I138)</f>
        <v>353574</v>
      </c>
      <c r="J139" s="265">
        <f>SUM(I131/I139,I132/I139,I133/I139,I134/I139,I135/I139,I136/I139,I137/I139,I138/I139)</f>
        <v>1</v>
      </c>
      <c r="K139" s="806">
        <f t="shared" si="28"/>
        <v>0.15</v>
      </c>
      <c r="L139" s="807"/>
      <c r="M139" s="165"/>
      <c r="N139" s="165"/>
      <c r="O139" s="2"/>
      <c r="P139" s="2"/>
      <c r="Q139" s="2"/>
      <c r="R139" s="2"/>
      <c r="S139" s="2"/>
      <c r="T139" s="2"/>
      <c r="U139" s="2"/>
      <c r="V139" s="2"/>
      <c r="W139" s="2"/>
      <c r="X139" s="2"/>
      <c r="Y139" s="165"/>
      <c r="Z139" s="165"/>
      <c r="AA139" s="165"/>
      <c r="AB139" s="2"/>
      <c r="AC139" s="2"/>
      <c r="AD139" s="2"/>
      <c r="AE139" s="2"/>
      <c r="AF139" s="2"/>
      <c r="AG139" s="2"/>
      <c r="AH139" s="2"/>
      <c r="AI139" s="2"/>
      <c r="AJ139" s="2"/>
      <c r="AK139" s="2"/>
    </row>
    <row r="140" spans="2:37" ht="16.5" customHeight="1">
      <c r="B140" s="266" t="s">
        <v>19</v>
      </c>
      <c r="C140" s="44"/>
      <c r="D140" s="245">
        <f>D139/G1312</f>
        <v>5516</v>
      </c>
      <c r="E140" s="267"/>
      <c r="F140" s="245">
        <f>F139/I1312</f>
        <v>3720</v>
      </c>
      <c r="G140" s="267"/>
      <c r="H140" s="247">
        <f t="shared" si="26"/>
        <v>-0.33</v>
      </c>
      <c r="I140" s="245">
        <f>IF(K1312=0,0,(I139/K1312))</f>
        <v>5051</v>
      </c>
      <c r="J140" s="267"/>
      <c r="K140" s="776">
        <f t="shared" si="28"/>
        <v>0.36</v>
      </c>
      <c r="L140" s="777"/>
      <c r="M140" s="2"/>
      <c r="N140" s="2"/>
      <c r="O140" s="2"/>
      <c r="P140" s="2"/>
      <c r="Q140" s="2"/>
      <c r="R140" s="2"/>
      <c r="S140" s="2"/>
      <c r="T140" s="2"/>
      <c r="U140" s="2"/>
      <c r="V140" s="2"/>
      <c r="W140" s="2"/>
      <c r="X140" s="2"/>
      <c r="Y140" s="2"/>
      <c r="Z140" s="2"/>
      <c r="AA140" s="2"/>
      <c r="AB140" s="2"/>
      <c r="AC140" s="2"/>
      <c r="AD140" s="2"/>
      <c r="AE140" s="2"/>
      <c r="AF140" s="2"/>
      <c r="AG140" s="2"/>
      <c r="AH140" s="2"/>
      <c r="AI140" s="2"/>
      <c r="AJ140" s="2"/>
      <c r="AK140" s="2"/>
    </row>
    <row r="141" spans="2:37" ht="6.75" customHeight="1">
      <c r="B141" s="2"/>
      <c r="C141" s="2"/>
      <c r="D141" s="2"/>
      <c r="E141" s="2"/>
      <c r="F141" s="2"/>
      <c r="G141" s="2"/>
      <c r="H141" s="2"/>
      <c r="I141" s="2"/>
      <c r="J141" s="2"/>
      <c r="K141" s="2"/>
      <c r="L141" s="2"/>
      <c r="M141" s="2"/>
      <c r="N141" s="2"/>
      <c r="O141" s="2"/>
      <c r="P141" s="2"/>
      <c r="Q141" s="2"/>
      <c r="R141" s="2"/>
      <c r="S141" s="2"/>
      <c r="T141" s="2"/>
      <c r="U141" s="2"/>
      <c r="V141" s="2"/>
      <c r="W141" s="2"/>
      <c r="Z141" s="2"/>
      <c r="AA141" s="2"/>
      <c r="AB141" s="2"/>
      <c r="AC141" s="2"/>
      <c r="AD141" s="2"/>
      <c r="AE141" s="2"/>
      <c r="AF141" s="2"/>
      <c r="AG141" s="2"/>
      <c r="AH141" s="2"/>
      <c r="AI141" s="2"/>
      <c r="AJ141" s="2"/>
      <c r="AK141" s="2"/>
    </row>
    <row r="142" spans="2:37">
      <c r="B142" s="268" t="s">
        <v>187</v>
      </c>
      <c r="C142" s="59"/>
      <c r="D142" s="59"/>
      <c r="E142" s="59"/>
      <c r="F142" s="59"/>
      <c r="G142" s="59"/>
      <c r="H142" s="59"/>
      <c r="I142" s="59"/>
      <c r="J142" s="59"/>
      <c r="K142" s="59"/>
      <c r="L142" s="2"/>
      <c r="M142" s="2"/>
      <c r="N142" s="2"/>
      <c r="O142" s="2"/>
      <c r="P142" s="2"/>
      <c r="Q142" s="2"/>
      <c r="R142" s="2"/>
      <c r="S142" s="2"/>
      <c r="T142" s="2"/>
      <c r="U142" s="2"/>
      <c r="V142" s="2"/>
      <c r="W142" s="2"/>
      <c r="Z142" s="2"/>
      <c r="AA142" s="2"/>
      <c r="AB142" s="2"/>
      <c r="AC142" s="2"/>
      <c r="AD142" s="2"/>
      <c r="AE142" s="2"/>
      <c r="AF142" s="2"/>
      <c r="AG142" s="2"/>
      <c r="AH142" s="2"/>
      <c r="AI142" s="2"/>
      <c r="AJ142" s="2"/>
      <c r="AK142" s="2"/>
    </row>
    <row r="143" spans="2:37">
      <c r="B143" s="269"/>
      <c r="C143" s="2"/>
      <c r="D143" s="2"/>
      <c r="E143" s="2"/>
      <c r="F143" s="2"/>
      <c r="G143" s="2"/>
      <c r="H143" s="2"/>
      <c r="I143" s="2"/>
      <c r="J143" s="2"/>
      <c r="K143" s="2"/>
      <c r="L143" s="2"/>
      <c r="M143" s="2"/>
      <c r="N143" s="2"/>
      <c r="O143" s="2"/>
      <c r="P143" s="2"/>
      <c r="Q143" s="2"/>
      <c r="R143" s="2"/>
      <c r="S143" s="2"/>
      <c r="T143" s="2"/>
      <c r="U143" s="2"/>
      <c r="V143" s="2"/>
      <c r="W143" s="2"/>
      <c r="Z143" s="2"/>
      <c r="AA143" s="2"/>
      <c r="AB143" s="2"/>
      <c r="AC143" s="2"/>
      <c r="AD143" s="2"/>
      <c r="AE143" s="2"/>
      <c r="AF143" s="2"/>
      <c r="AG143" s="2"/>
      <c r="AH143" s="2"/>
      <c r="AI143" s="2"/>
      <c r="AJ143" s="2"/>
      <c r="AK143" s="2"/>
    </row>
    <row r="144" spans="2:37">
      <c r="B144" s="2"/>
      <c r="C144" s="2"/>
      <c r="D144" s="2"/>
      <c r="E144" s="2"/>
      <c r="F144" s="2"/>
      <c r="G144" s="2"/>
      <c r="H144" s="2"/>
      <c r="I144" s="2"/>
      <c r="J144" s="2"/>
      <c r="K144" s="2"/>
      <c r="L144" s="2"/>
      <c r="M144" s="2"/>
      <c r="N144" s="2"/>
      <c r="O144" s="165"/>
      <c r="P144" s="2"/>
      <c r="Q144" s="2"/>
      <c r="R144" s="2"/>
      <c r="S144" s="2"/>
      <c r="T144" s="2"/>
      <c r="U144" s="2"/>
      <c r="V144" s="2"/>
      <c r="W144" s="2"/>
      <c r="Z144" s="2"/>
      <c r="AA144" s="2"/>
      <c r="AB144" s="2"/>
      <c r="AC144" s="2"/>
      <c r="AD144" s="2"/>
      <c r="AE144" s="2"/>
      <c r="AF144" s="2"/>
      <c r="AG144" s="2"/>
      <c r="AH144" s="2"/>
      <c r="AI144" s="2"/>
      <c r="AJ144" s="2"/>
      <c r="AK144" s="2"/>
    </row>
    <row r="145" spans="2:37">
      <c r="B145" s="2"/>
      <c r="C145" s="2"/>
      <c r="D145" s="2"/>
      <c r="E145" s="2"/>
      <c r="F145" s="2"/>
      <c r="G145" s="2"/>
      <c r="H145" s="2"/>
      <c r="I145" s="2"/>
      <c r="J145" s="2"/>
      <c r="K145" s="2"/>
      <c r="L145" s="2"/>
      <c r="M145" s="2"/>
      <c r="N145" s="2"/>
      <c r="O145" s="165"/>
      <c r="P145" s="2"/>
      <c r="Q145" s="2"/>
      <c r="R145" s="2"/>
      <c r="S145" s="2"/>
      <c r="T145" s="2"/>
      <c r="U145" s="2"/>
      <c r="V145" s="2"/>
      <c r="W145" s="2"/>
      <c r="Z145" s="2"/>
      <c r="AA145" s="2"/>
      <c r="AB145" s="2"/>
      <c r="AC145" s="2"/>
      <c r="AD145" s="2"/>
      <c r="AE145" s="2"/>
      <c r="AF145" s="2"/>
      <c r="AG145" s="2"/>
      <c r="AH145" s="2"/>
      <c r="AI145" s="2"/>
      <c r="AJ145" s="2"/>
      <c r="AK145" s="2"/>
    </row>
    <row r="146" spans="2:37">
      <c r="B146" s="2"/>
      <c r="C146" s="2"/>
      <c r="D146" s="2"/>
      <c r="E146" s="2"/>
      <c r="F146" s="2"/>
      <c r="G146" s="2"/>
      <c r="H146" s="2"/>
      <c r="I146" s="2"/>
      <c r="J146" s="2"/>
      <c r="K146" s="2"/>
      <c r="L146" s="2"/>
      <c r="M146" s="2"/>
      <c r="N146" s="2"/>
      <c r="O146" s="165"/>
      <c r="P146" s="2"/>
      <c r="Q146" s="2"/>
      <c r="R146" s="2"/>
      <c r="S146" s="2"/>
      <c r="T146" s="2"/>
      <c r="U146" s="2"/>
      <c r="V146" s="2"/>
      <c r="W146" s="2"/>
      <c r="Z146" s="2"/>
      <c r="AA146" s="2"/>
      <c r="AB146" s="2"/>
      <c r="AC146" s="2"/>
      <c r="AD146" s="2"/>
      <c r="AE146" s="2"/>
      <c r="AF146" s="2"/>
      <c r="AG146" s="2"/>
      <c r="AH146" s="2"/>
      <c r="AI146" s="2"/>
      <c r="AJ146" s="2"/>
      <c r="AK146" s="2"/>
    </row>
    <row r="147" spans="2:37">
      <c r="B147" s="2"/>
      <c r="C147" s="2"/>
      <c r="D147" s="2"/>
      <c r="E147" s="2"/>
      <c r="F147" s="2"/>
      <c r="G147" s="2"/>
      <c r="H147" s="2"/>
      <c r="I147" s="2"/>
      <c r="J147" s="2"/>
      <c r="K147" s="2"/>
      <c r="L147" s="2"/>
      <c r="M147" s="2"/>
      <c r="N147" s="2"/>
      <c r="O147" s="165"/>
      <c r="P147" s="2"/>
      <c r="Q147" s="2"/>
      <c r="R147" s="2"/>
      <c r="S147" s="2"/>
      <c r="T147" s="2"/>
      <c r="U147" s="2"/>
      <c r="V147" s="2"/>
      <c r="W147" s="2"/>
      <c r="Z147" s="2"/>
      <c r="AA147" s="2"/>
      <c r="AB147" s="2"/>
      <c r="AC147" s="2"/>
      <c r="AD147" s="2"/>
      <c r="AE147" s="2"/>
      <c r="AF147" s="2"/>
      <c r="AG147" s="2"/>
      <c r="AH147" s="2"/>
      <c r="AI147" s="2"/>
      <c r="AJ147" s="2"/>
      <c r="AK147" s="2"/>
    </row>
    <row r="148" spans="2:37">
      <c r="B148" s="2"/>
      <c r="C148" s="2"/>
      <c r="D148" s="2"/>
      <c r="E148" s="2"/>
      <c r="F148" s="2"/>
      <c r="G148" s="2"/>
      <c r="H148" s="2"/>
      <c r="I148" s="2"/>
      <c r="J148" s="2"/>
      <c r="K148" s="2"/>
      <c r="L148" s="2"/>
      <c r="M148" s="2"/>
      <c r="N148" s="2"/>
      <c r="O148" s="2" t="s">
        <v>25</v>
      </c>
      <c r="P148" s="2"/>
      <c r="Q148" s="2"/>
      <c r="R148" s="2"/>
      <c r="S148" s="2"/>
      <c r="T148" s="2"/>
      <c r="U148" s="2"/>
      <c r="V148" s="2"/>
      <c r="W148" s="2"/>
      <c r="Z148" s="2"/>
      <c r="AA148" s="2"/>
      <c r="AB148" s="2"/>
      <c r="AC148" s="2"/>
      <c r="AD148" s="2"/>
      <c r="AE148" s="2"/>
      <c r="AF148" s="2"/>
      <c r="AG148" s="2"/>
      <c r="AH148" s="2"/>
      <c r="AI148" s="2"/>
      <c r="AJ148" s="2"/>
      <c r="AK148" s="2"/>
    </row>
    <row r="149" spans="2:37">
      <c r="B149" s="2"/>
      <c r="C149" s="2"/>
      <c r="D149" s="2"/>
      <c r="E149" s="2"/>
      <c r="F149" s="2"/>
      <c r="G149" s="2"/>
      <c r="H149" s="2"/>
      <c r="I149" s="2"/>
      <c r="J149" s="2"/>
      <c r="K149" s="2"/>
      <c r="L149" s="2"/>
      <c r="M149" s="165"/>
      <c r="N149" s="165"/>
      <c r="O149" s="2"/>
      <c r="P149" s="82" t="str">
        <f>D4</f>
        <v>2023-2024</v>
      </c>
      <c r="Q149" s="82" t="str">
        <f>F4</f>
        <v>2024-2025</v>
      </c>
      <c r="R149" s="82" t="str">
        <f>I4</f>
        <v>2025-2026</v>
      </c>
      <c r="S149" s="2"/>
      <c r="T149" s="2"/>
      <c r="U149" s="2"/>
      <c r="V149" s="2"/>
      <c r="W149" s="2"/>
      <c r="Z149" s="2"/>
      <c r="AA149" s="2"/>
      <c r="AB149" s="2"/>
      <c r="AC149" s="2"/>
      <c r="AD149" s="2"/>
      <c r="AE149" s="2"/>
      <c r="AF149" s="2"/>
      <c r="AG149" s="2"/>
      <c r="AH149" s="2"/>
      <c r="AI149" s="2"/>
      <c r="AJ149" s="2"/>
      <c r="AK149" s="2"/>
    </row>
    <row r="150" spans="2:37">
      <c r="B150" s="2"/>
      <c r="C150" s="2"/>
      <c r="D150" s="2"/>
      <c r="E150" s="2"/>
      <c r="F150" s="2"/>
      <c r="G150" s="2"/>
      <c r="H150" s="2"/>
      <c r="I150" s="2"/>
      <c r="J150" s="2"/>
      <c r="K150" s="2"/>
      <c r="L150" s="2"/>
      <c r="M150" s="165"/>
      <c r="N150" s="165"/>
      <c r="O150" s="140" t="str">
        <f t="shared" ref="O150:O157" si="29">IF(AND($D131&lt;=0,$F131&lt;=0,$I131&lt;=0),"",$B131)</f>
        <v>Instruction</v>
      </c>
      <c r="P150" s="207">
        <f t="shared" ref="P150:P157" si="30">IF(AND($D131&lt;=0,$F131&lt;=0,$I131&lt;=0),#N/A,IF($D131&lt;=0,0,$D131))</f>
        <v>66546</v>
      </c>
      <c r="Q150" s="207">
        <f t="shared" ref="Q150:Q157" si="31">IF(AND($D131&lt;=0,$F131&lt;=0,$I131&lt;=0),#N/A,IF($F131&lt;=0,0,$F131))</f>
        <v>0</v>
      </c>
      <c r="R150" s="207">
        <f t="shared" ref="R150:R157" si="32">IF(AND($D131&lt;=0,$F131&lt;=0,$I131&lt;=0),#N/A,IF($I131&lt;=0,0,$I131))</f>
        <v>13883</v>
      </c>
      <c r="S150" s="2"/>
      <c r="T150" s="2"/>
      <c r="U150" s="2"/>
      <c r="V150" s="2"/>
      <c r="W150" s="2"/>
      <c r="Z150" s="2"/>
      <c r="AA150" s="2"/>
      <c r="AB150" s="2"/>
      <c r="AC150" s="2"/>
      <c r="AD150" s="2"/>
      <c r="AE150" s="2"/>
      <c r="AF150" s="2"/>
      <c r="AG150" s="2"/>
      <c r="AH150" s="2"/>
      <c r="AI150" s="2"/>
      <c r="AJ150" s="2"/>
      <c r="AK150" s="2"/>
    </row>
    <row r="151" spans="2:37">
      <c r="B151" s="2"/>
      <c r="C151" s="2"/>
      <c r="D151" s="2"/>
      <c r="E151" s="2"/>
      <c r="F151" s="2"/>
      <c r="G151" s="2"/>
      <c r="H151" s="2"/>
      <c r="I151" s="2"/>
      <c r="J151" s="2"/>
      <c r="K151" s="2"/>
      <c r="L151" s="2"/>
      <c r="M151" s="165"/>
      <c r="N151" s="165"/>
      <c r="O151" s="140" t="str">
        <f t="shared" si="29"/>
        <v>Student Support</v>
      </c>
      <c r="P151" s="207">
        <f t="shared" si="30"/>
        <v>2063</v>
      </c>
      <c r="Q151" s="207">
        <f t="shared" si="31"/>
        <v>0</v>
      </c>
      <c r="R151" s="207">
        <f t="shared" si="32"/>
        <v>0</v>
      </c>
      <c r="S151" s="2"/>
      <c r="T151" s="2"/>
      <c r="U151" s="2"/>
      <c r="V151" s="2"/>
      <c r="W151" s="2"/>
      <c r="X151" s="2"/>
      <c r="Y151" s="165"/>
      <c r="Z151" s="2"/>
      <c r="AA151" s="2"/>
      <c r="AB151" s="2"/>
      <c r="AC151" s="2"/>
      <c r="AD151" s="2"/>
      <c r="AE151" s="2"/>
      <c r="AF151" s="2"/>
      <c r="AG151" s="2"/>
      <c r="AH151" s="2"/>
      <c r="AI151" s="2"/>
      <c r="AJ151" s="2"/>
      <c r="AK151" s="2"/>
    </row>
    <row r="152" spans="2:37">
      <c r="B152" s="2"/>
      <c r="C152" s="2"/>
      <c r="D152" s="2"/>
      <c r="E152" s="2"/>
      <c r="F152" s="2"/>
      <c r="G152" s="2"/>
      <c r="H152" s="2"/>
      <c r="I152" s="2"/>
      <c r="J152" s="2"/>
      <c r="K152" s="2"/>
      <c r="L152" s="2"/>
      <c r="M152" s="165"/>
      <c r="N152" s="165"/>
      <c r="O152" s="140" t="str">
        <f t="shared" si="29"/>
        <v>Instructional Support</v>
      </c>
      <c r="P152" s="207">
        <f t="shared" si="30"/>
        <v>0</v>
      </c>
      <c r="Q152" s="207">
        <f t="shared" si="31"/>
        <v>195</v>
      </c>
      <c r="R152" s="207">
        <f t="shared" si="32"/>
        <v>100</v>
      </c>
      <c r="S152" s="2"/>
      <c r="T152" s="2"/>
      <c r="U152" s="2"/>
      <c r="V152" s="2"/>
      <c r="W152" s="2"/>
      <c r="X152" s="2"/>
      <c r="Y152" s="165"/>
      <c r="Z152" s="2"/>
      <c r="AA152" s="2"/>
      <c r="AB152" s="2"/>
      <c r="AC152" s="2"/>
      <c r="AD152" s="2"/>
      <c r="AE152" s="2"/>
      <c r="AF152" s="2"/>
      <c r="AG152" s="2"/>
      <c r="AH152" s="2"/>
      <c r="AI152" s="2"/>
      <c r="AJ152" s="2"/>
      <c r="AK152" s="2"/>
    </row>
    <row r="153" spans="2:37">
      <c r="B153" s="2"/>
      <c r="C153" s="2"/>
      <c r="D153" s="2"/>
      <c r="E153" s="2"/>
      <c r="F153" s="2"/>
      <c r="G153" s="2"/>
      <c r="H153" s="2"/>
      <c r="I153" s="2"/>
      <c r="J153" s="2"/>
      <c r="K153" s="2"/>
      <c r="L153" s="2"/>
      <c r="M153" s="165"/>
      <c r="N153" s="165"/>
      <c r="O153" s="140" t="str">
        <f t="shared" si="29"/>
        <v>Administration &amp; Support</v>
      </c>
      <c r="P153" s="207">
        <f t="shared" si="30"/>
        <v>42428</v>
      </c>
      <c r="Q153" s="207">
        <f t="shared" si="31"/>
        <v>65094</v>
      </c>
      <c r="R153" s="207">
        <f t="shared" si="32"/>
        <v>31150</v>
      </c>
      <c r="S153" s="2"/>
      <c r="T153" s="2"/>
      <c r="U153" s="2"/>
      <c r="V153" s="2"/>
      <c r="W153" s="2"/>
      <c r="X153" s="2"/>
      <c r="Y153" s="2"/>
      <c r="Z153" s="2"/>
      <c r="AA153" s="2"/>
      <c r="AB153" s="2"/>
      <c r="AC153" s="2"/>
      <c r="AD153" s="2"/>
      <c r="AE153" s="2"/>
      <c r="AF153" s="2"/>
      <c r="AG153" s="2"/>
      <c r="AH153" s="2"/>
      <c r="AI153" s="2"/>
      <c r="AJ153" s="2"/>
      <c r="AK153" s="2"/>
    </row>
    <row r="154" spans="2:37">
      <c r="B154" s="2"/>
      <c r="C154" s="2"/>
      <c r="D154" s="2"/>
      <c r="E154" s="2"/>
      <c r="F154" s="2"/>
      <c r="G154" s="2"/>
      <c r="H154" s="2"/>
      <c r="I154" s="2"/>
      <c r="J154" s="2"/>
      <c r="K154" s="2"/>
      <c r="L154" s="2"/>
      <c r="M154" s="165"/>
      <c r="N154" s="165"/>
      <c r="O154" s="140" t="str">
        <f t="shared" si="29"/>
        <v>Operations &amp; Maintenance</v>
      </c>
      <c r="P154" s="207">
        <f t="shared" si="30"/>
        <v>241300</v>
      </c>
      <c r="Q154" s="207">
        <f t="shared" si="31"/>
        <v>193424</v>
      </c>
      <c r="R154" s="207">
        <f t="shared" si="32"/>
        <v>264342</v>
      </c>
      <c r="S154" s="2"/>
      <c r="T154" s="2"/>
      <c r="U154" s="2"/>
      <c r="V154" s="2"/>
      <c r="W154" s="2"/>
      <c r="X154" s="2"/>
      <c r="Y154" s="2"/>
      <c r="Z154" s="2"/>
      <c r="AA154" s="2"/>
      <c r="AB154" s="2"/>
      <c r="AC154" s="2"/>
      <c r="AD154" s="2"/>
      <c r="AE154" s="2"/>
      <c r="AF154" s="2"/>
      <c r="AG154" s="2"/>
      <c r="AH154" s="2"/>
      <c r="AI154" s="2"/>
      <c r="AJ154" s="2"/>
      <c r="AK154" s="2"/>
    </row>
    <row r="155" spans="2:37">
      <c r="B155" s="2"/>
      <c r="C155" s="2"/>
      <c r="D155" s="2"/>
      <c r="E155" s="2"/>
      <c r="F155" s="2"/>
      <c r="G155" s="2"/>
      <c r="H155" s="2"/>
      <c r="I155" s="2"/>
      <c r="J155" s="2"/>
      <c r="K155" s="2"/>
      <c r="L155" s="2"/>
      <c r="M155" s="2"/>
      <c r="N155" s="2"/>
      <c r="O155" s="140" t="str">
        <f t="shared" si="29"/>
        <v>Transportation</v>
      </c>
      <c r="P155" s="207">
        <f t="shared" si="30"/>
        <v>37624</v>
      </c>
      <c r="Q155" s="207">
        <f t="shared" si="31"/>
        <v>48200</v>
      </c>
      <c r="R155" s="207">
        <f t="shared" si="32"/>
        <v>44099</v>
      </c>
      <c r="S155" s="2"/>
      <c r="T155" s="2"/>
      <c r="U155" s="2"/>
      <c r="V155" s="2"/>
      <c r="W155" s="2"/>
      <c r="X155" s="2"/>
      <c r="Y155" s="2"/>
      <c r="Z155" s="2"/>
      <c r="AA155" s="2"/>
      <c r="AB155" s="2"/>
      <c r="AC155" s="2"/>
      <c r="AD155" s="2"/>
      <c r="AE155" s="2"/>
      <c r="AF155" s="2"/>
      <c r="AG155" s="2"/>
      <c r="AH155" s="2"/>
      <c r="AI155" s="2"/>
      <c r="AJ155" s="2"/>
      <c r="AK155" s="2"/>
    </row>
    <row r="156" spans="2:37">
      <c r="B156" s="2"/>
      <c r="C156" s="2"/>
      <c r="D156" s="2"/>
      <c r="E156" s="2"/>
      <c r="F156" s="2"/>
      <c r="G156" s="2"/>
      <c r="H156" s="2"/>
      <c r="I156" s="2"/>
      <c r="J156" s="2"/>
      <c r="K156" s="2"/>
      <c r="L156" s="2"/>
      <c r="M156" s="2"/>
      <c r="N156" s="2"/>
      <c r="O156" s="140" t="str">
        <f t="shared" si="29"/>
        <v/>
      </c>
      <c r="P156" s="207" t="e">
        <f t="shared" si="30"/>
        <v>#N/A</v>
      </c>
      <c r="Q156" s="207" t="e">
        <f t="shared" si="31"/>
        <v>#N/A</v>
      </c>
      <c r="R156" s="207" t="e">
        <f t="shared" si="32"/>
        <v>#N/A</v>
      </c>
      <c r="S156" s="2"/>
      <c r="T156" s="2"/>
      <c r="U156" s="2"/>
      <c r="V156" s="2"/>
      <c r="W156" s="2"/>
      <c r="X156" s="2"/>
      <c r="Y156" s="2"/>
      <c r="Z156" s="2"/>
      <c r="AA156" s="2"/>
      <c r="AB156" s="2"/>
      <c r="AC156" s="2"/>
      <c r="AD156" s="2"/>
      <c r="AE156" s="2"/>
      <c r="AF156" s="2"/>
      <c r="AG156" s="2"/>
      <c r="AH156" s="2"/>
      <c r="AI156" s="2"/>
      <c r="AJ156" s="2"/>
      <c r="AK156" s="2"/>
    </row>
    <row r="157" spans="2:37">
      <c r="B157" s="2"/>
      <c r="C157" s="2"/>
      <c r="D157" s="2"/>
      <c r="E157" s="2"/>
      <c r="F157" s="2"/>
      <c r="G157" s="2"/>
      <c r="H157" s="2"/>
      <c r="I157" s="2"/>
      <c r="J157" s="2"/>
      <c r="K157" s="2"/>
      <c r="L157" s="2"/>
      <c r="M157" s="2"/>
      <c r="N157" s="2"/>
      <c r="O157" s="140" t="str">
        <f t="shared" si="29"/>
        <v/>
      </c>
      <c r="P157" s="207" t="e">
        <f t="shared" si="30"/>
        <v>#N/A</v>
      </c>
      <c r="Q157" s="207" t="e">
        <f t="shared" si="31"/>
        <v>#N/A</v>
      </c>
      <c r="R157" s="207" t="e">
        <f t="shared" si="32"/>
        <v>#N/A</v>
      </c>
      <c r="S157" s="2"/>
      <c r="T157" s="2"/>
      <c r="U157" s="2"/>
      <c r="V157" s="2"/>
      <c r="W157" s="2"/>
      <c r="X157" s="2"/>
      <c r="Y157" s="2"/>
      <c r="Z157" s="2"/>
      <c r="AA157" s="2"/>
      <c r="AB157" s="2"/>
      <c r="AC157" s="2"/>
      <c r="AD157" s="2"/>
      <c r="AE157" s="2"/>
      <c r="AF157" s="2"/>
      <c r="AG157" s="2"/>
      <c r="AH157" s="2"/>
      <c r="AI157" s="2"/>
      <c r="AJ157" s="2"/>
      <c r="AK157" s="2"/>
    </row>
    <row r="158" spans="2:37">
      <c r="B158" s="2"/>
      <c r="C158" s="2"/>
      <c r="D158" s="2"/>
      <c r="E158" s="2"/>
      <c r="F158" s="2"/>
      <c r="G158" s="2"/>
      <c r="H158" s="2"/>
      <c r="I158" s="2"/>
      <c r="J158" s="2"/>
      <c r="K158" s="2"/>
      <c r="L158" s="2"/>
      <c r="M158" s="2"/>
      <c r="N158" s="2"/>
      <c r="O158" s="2"/>
      <c r="P158" s="2"/>
      <c r="Q158" s="2"/>
      <c r="R158" s="2"/>
      <c r="S158" s="2"/>
      <c r="T158" s="2"/>
      <c r="U158" s="2"/>
      <c r="V158" s="2"/>
      <c r="W158" s="2"/>
      <c r="X158" s="2"/>
      <c r="Y158" s="2"/>
      <c r="Z158" s="2"/>
      <c r="AA158" s="2"/>
      <c r="AB158" s="2"/>
      <c r="AC158" s="2"/>
      <c r="AD158" s="2"/>
      <c r="AE158" s="2"/>
      <c r="AF158" s="2"/>
      <c r="AG158" s="2"/>
      <c r="AH158" s="2"/>
      <c r="AI158" s="2"/>
      <c r="AJ158" s="2"/>
      <c r="AK158" s="2"/>
    </row>
    <row r="159" spans="2:37">
      <c r="B159" s="2"/>
      <c r="C159" s="2"/>
      <c r="D159" s="2"/>
      <c r="E159" s="2"/>
      <c r="F159" s="2"/>
      <c r="G159" s="2"/>
      <c r="H159" s="2"/>
      <c r="I159" s="2"/>
      <c r="J159" s="2"/>
      <c r="K159" s="2"/>
      <c r="L159" s="2"/>
      <c r="M159" s="2"/>
      <c r="N159" s="2"/>
      <c r="O159" s="2"/>
      <c r="P159" s="2"/>
      <c r="Q159" s="2"/>
      <c r="R159" s="2"/>
      <c r="S159" s="2"/>
      <c r="T159" s="2"/>
      <c r="U159" s="2"/>
      <c r="V159" s="2"/>
      <c r="W159" s="2"/>
      <c r="X159" s="2"/>
      <c r="Y159" s="2"/>
      <c r="Z159" s="2"/>
      <c r="AA159" s="2"/>
      <c r="AB159" s="2"/>
      <c r="AC159" s="2"/>
      <c r="AD159" s="2"/>
      <c r="AE159" s="2"/>
      <c r="AF159" s="2"/>
      <c r="AG159" s="2"/>
      <c r="AH159" s="2"/>
      <c r="AI159" s="2"/>
      <c r="AJ159" s="2"/>
      <c r="AK159" s="2"/>
    </row>
    <row r="160" spans="2:37">
      <c r="B160" s="2"/>
      <c r="C160" s="2"/>
      <c r="D160" s="2"/>
      <c r="E160" s="2"/>
      <c r="F160" s="2"/>
      <c r="G160" s="2"/>
      <c r="H160" s="2"/>
      <c r="I160" s="2"/>
      <c r="J160" s="2"/>
      <c r="K160" s="2"/>
      <c r="L160" s="2"/>
      <c r="M160" s="2"/>
      <c r="N160" s="2"/>
      <c r="O160" s="2"/>
      <c r="P160" s="2"/>
      <c r="Q160" s="2"/>
      <c r="R160" s="2"/>
      <c r="S160" s="2"/>
      <c r="T160" s="2"/>
      <c r="U160" s="2"/>
      <c r="V160" s="2"/>
      <c r="W160" s="2"/>
      <c r="X160" s="2"/>
      <c r="Y160" s="2"/>
      <c r="Z160" s="2"/>
      <c r="AA160" s="2"/>
      <c r="AB160" s="2"/>
      <c r="AC160" s="2"/>
      <c r="AD160" s="2"/>
      <c r="AE160" s="2"/>
      <c r="AF160" s="2"/>
      <c r="AG160" s="2"/>
      <c r="AH160" s="2"/>
      <c r="AI160" s="2"/>
      <c r="AJ160" s="2"/>
      <c r="AK160" s="2"/>
    </row>
    <row r="161" spans="2:37">
      <c r="B161" s="2"/>
      <c r="C161" s="2"/>
      <c r="D161" s="2"/>
      <c r="E161" s="2"/>
      <c r="F161" s="2"/>
      <c r="G161" s="2"/>
      <c r="H161" s="2"/>
      <c r="I161" s="2"/>
      <c r="J161" s="2"/>
      <c r="K161" s="2"/>
      <c r="L161" s="2"/>
      <c r="M161" s="2"/>
      <c r="N161" s="2"/>
      <c r="O161" s="2"/>
      <c r="P161" s="2"/>
      <c r="Q161" s="2"/>
      <c r="R161" s="2"/>
      <c r="S161" s="2"/>
      <c r="T161" s="2"/>
      <c r="U161" s="2"/>
      <c r="V161" s="2"/>
      <c r="W161" s="2"/>
      <c r="X161" s="2"/>
      <c r="Y161" s="2"/>
      <c r="Z161" s="2"/>
      <c r="AA161" s="2"/>
      <c r="AB161" s="2"/>
      <c r="AC161" s="2"/>
      <c r="AD161" s="2"/>
      <c r="AE161" s="2"/>
      <c r="AF161" s="2"/>
      <c r="AG161" s="2"/>
      <c r="AH161" s="2"/>
      <c r="AI161" s="2"/>
      <c r="AJ161" s="2"/>
      <c r="AK161" s="2"/>
    </row>
    <row r="162" spans="2:37">
      <c r="B162" s="2"/>
      <c r="C162" s="2"/>
      <c r="D162" s="2"/>
      <c r="E162" s="2"/>
      <c r="F162" s="2"/>
      <c r="G162" s="2"/>
      <c r="H162" s="2"/>
      <c r="I162" s="2"/>
      <c r="J162" s="2"/>
      <c r="K162" s="2"/>
      <c r="L162" s="2"/>
      <c r="M162" s="2"/>
      <c r="N162" s="2"/>
      <c r="O162" s="2"/>
      <c r="P162" s="2"/>
      <c r="Q162" s="2"/>
      <c r="R162" s="2"/>
      <c r="S162" s="2"/>
      <c r="T162" s="2"/>
      <c r="U162" s="2"/>
      <c r="V162" s="2"/>
      <c r="W162" s="2"/>
      <c r="X162" s="2"/>
      <c r="Y162" s="2"/>
      <c r="Z162" s="2"/>
      <c r="AA162" s="2"/>
      <c r="AB162" s="2"/>
      <c r="AC162" s="2"/>
      <c r="AD162" s="2"/>
      <c r="AE162" s="2"/>
      <c r="AF162" s="2"/>
      <c r="AG162" s="2"/>
      <c r="AH162" s="2"/>
      <c r="AI162" s="2"/>
      <c r="AJ162" s="2"/>
      <c r="AK162" s="2"/>
    </row>
    <row r="163" spans="2:37">
      <c r="B163" s="2"/>
      <c r="C163" s="2"/>
      <c r="D163" s="2"/>
      <c r="E163" s="2"/>
      <c r="F163" s="2"/>
      <c r="G163" s="2"/>
      <c r="H163" s="2"/>
      <c r="I163" s="2"/>
      <c r="J163" s="2"/>
      <c r="K163" s="2"/>
      <c r="L163" s="2"/>
      <c r="M163" s="2"/>
      <c r="N163" s="2"/>
      <c r="O163" s="2"/>
      <c r="P163" s="2"/>
      <c r="Q163" s="2"/>
      <c r="R163" s="2"/>
      <c r="S163" s="2"/>
      <c r="T163" s="2"/>
      <c r="U163" s="2"/>
      <c r="V163" s="2"/>
      <c r="W163" s="2"/>
      <c r="X163" s="2"/>
      <c r="Y163" s="2"/>
      <c r="Z163" s="2"/>
      <c r="AA163" s="2"/>
      <c r="AB163" s="2"/>
      <c r="AC163" s="2"/>
      <c r="AD163" s="2"/>
      <c r="AE163" s="2"/>
      <c r="AF163" s="2"/>
      <c r="AG163" s="2"/>
      <c r="AH163" s="2"/>
      <c r="AI163" s="2"/>
      <c r="AJ163" s="2"/>
      <c r="AK163" s="2"/>
    </row>
    <row r="164" spans="2:37">
      <c r="B164" s="2"/>
      <c r="C164" s="2"/>
      <c r="D164" s="2"/>
      <c r="E164" s="2"/>
      <c r="F164" s="2"/>
      <c r="G164" s="2"/>
      <c r="H164" s="2"/>
      <c r="I164" s="2"/>
      <c r="J164" s="2"/>
      <c r="K164" s="2"/>
      <c r="L164" s="2"/>
      <c r="M164" s="2"/>
      <c r="N164" s="2"/>
      <c r="O164" s="2"/>
      <c r="P164" s="2"/>
      <c r="Q164" s="2"/>
      <c r="R164" s="2"/>
      <c r="S164" s="2"/>
      <c r="T164" s="2"/>
      <c r="U164" s="2"/>
      <c r="V164" s="2"/>
      <c r="W164" s="2"/>
      <c r="X164" s="2"/>
      <c r="Y164" s="2"/>
      <c r="Z164" s="2"/>
      <c r="AA164" s="2"/>
      <c r="AB164" s="2"/>
      <c r="AC164" s="2"/>
      <c r="AD164" s="2"/>
      <c r="AE164" s="2"/>
      <c r="AF164" s="2"/>
      <c r="AG164" s="2"/>
      <c r="AH164" s="2"/>
      <c r="AI164" s="2"/>
      <c r="AJ164" s="2"/>
      <c r="AK164" s="2"/>
    </row>
    <row r="165" spans="2:37">
      <c r="B165" s="2"/>
      <c r="C165" s="2"/>
      <c r="D165" s="2"/>
      <c r="E165" s="2"/>
      <c r="F165" s="2"/>
      <c r="G165" s="2"/>
      <c r="H165" s="2"/>
      <c r="I165" s="2"/>
      <c r="J165" s="2"/>
      <c r="K165" s="2"/>
      <c r="L165" s="2"/>
      <c r="M165" s="2"/>
      <c r="N165" s="2"/>
      <c r="O165" s="2"/>
      <c r="P165" s="2"/>
      <c r="Q165" s="2"/>
      <c r="R165" s="2"/>
      <c r="S165" s="2"/>
      <c r="T165" s="2"/>
      <c r="U165" s="2"/>
      <c r="V165" s="2"/>
      <c r="W165" s="2"/>
      <c r="X165" s="2"/>
      <c r="Y165" s="2"/>
      <c r="Z165" s="2"/>
      <c r="AA165" s="2"/>
      <c r="AB165" s="2"/>
      <c r="AC165" s="2"/>
      <c r="AD165" s="2"/>
      <c r="AE165" s="2"/>
      <c r="AF165" s="2"/>
      <c r="AG165" s="2"/>
      <c r="AH165" s="2"/>
      <c r="AI165" s="2"/>
      <c r="AJ165" s="2"/>
      <c r="AK165" s="2"/>
    </row>
    <row r="166" spans="2:37">
      <c r="B166" s="2"/>
      <c r="C166" s="2"/>
      <c r="D166" s="2"/>
      <c r="E166" s="2"/>
      <c r="F166" s="2"/>
      <c r="G166" s="2"/>
      <c r="H166" s="2"/>
      <c r="I166" s="2"/>
      <c r="J166" s="2"/>
      <c r="K166" s="2"/>
      <c r="L166" s="2"/>
      <c r="M166" s="2"/>
      <c r="N166" s="2"/>
      <c r="O166" s="2"/>
      <c r="P166" s="2"/>
      <c r="Q166" s="2"/>
      <c r="R166" s="2"/>
      <c r="S166" s="2"/>
      <c r="T166" s="2"/>
      <c r="U166" s="2"/>
      <c r="V166" s="2"/>
      <c r="W166" s="2"/>
      <c r="X166" s="2"/>
      <c r="Y166" s="2"/>
      <c r="Z166" s="2"/>
      <c r="AA166" s="2"/>
      <c r="AB166" s="2"/>
      <c r="AC166" s="2"/>
      <c r="AD166" s="2"/>
      <c r="AE166" s="2"/>
      <c r="AF166" s="2"/>
      <c r="AG166" s="2"/>
      <c r="AH166" s="2"/>
      <c r="AI166" s="2"/>
      <c r="AJ166" s="2"/>
      <c r="AK166" s="2"/>
    </row>
    <row r="167" spans="2:37">
      <c r="B167" s="2"/>
      <c r="C167" s="2"/>
      <c r="D167" s="2"/>
      <c r="E167" s="2"/>
      <c r="F167" s="2"/>
      <c r="G167" s="2"/>
      <c r="H167" s="2"/>
      <c r="I167" s="2"/>
      <c r="J167" s="2"/>
      <c r="K167" s="2"/>
      <c r="L167" s="2"/>
      <c r="M167" s="2"/>
      <c r="N167" s="2"/>
      <c r="O167" s="2"/>
      <c r="P167" s="2"/>
      <c r="Q167" s="2"/>
      <c r="R167" s="2"/>
      <c r="S167" s="2"/>
      <c r="T167" s="2"/>
      <c r="U167" s="2"/>
      <c r="V167" s="2"/>
      <c r="W167" s="2"/>
      <c r="X167" s="2"/>
      <c r="Y167" s="2"/>
      <c r="Z167" s="2"/>
      <c r="AA167" s="2"/>
      <c r="AB167" s="2"/>
      <c r="AC167" s="2"/>
      <c r="AD167" s="2"/>
      <c r="AE167" s="2"/>
      <c r="AF167" s="2"/>
      <c r="AG167" s="2"/>
      <c r="AH167" s="2"/>
      <c r="AI167" s="2"/>
      <c r="AJ167" s="2"/>
      <c r="AK167" s="2"/>
    </row>
    <row r="168" spans="2:37">
      <c r="B168" s="2"/>
      <c r="C168" s="2"/>
      <c r="D168" s="2"/>
      <c r="E168" s="2"/>
      <c r="F168" s="2"/>
      <c r="G168" s="2"/>
      <c r="H168" s="2"/>
      <c r="I168" s="2"/>
      <c r="J168" s="2"/>
      <c r="K168" s="2"/>
      <c r="L168" s="2"/>
      <c r="M168" s="2"/>
      <c r="N168" s="2"/>
      <c r="O168" s="2"/>
      <c r="P168" s="2"/>
      <c r="Q168" s="2"/>
      <c r="R168" s="2"/>
      <c r="S168" s="2"/>
      <c r="T168" s="2"/>
      <c r="U168" s="2"/>
      <c r="V168" s="2"/>
      <c r="W168" s="2"/>
      <c r="X168" s="2"/>
      <c r="Y168" s="2"/>
      <c r="Z168" s="2"/>
      <c r="AA168" s="2"/>
      <c r="AB168" s="2"/>
      <c r="AC168" s="2"/>
      <c r="AD168" s="2"/>
      <c r="AE168" s="2"/>
      <c r="AF168" s="2"/>
      <c r="AG168" s="2"/>
      <c r="AH168" s="2"/>
      <c r="AI168" s="2"/>
      <c r="AJ168" s="2"/>
      <c r="AK168" s="2"/>
    </row>
    <row r="169" spans="2:37">
      <c r="B169" s="2"/>
      <c r="C169" s="2"/>
      <c r="D169" s="2"/>
      <c r="E169" s="2"/>
      <c r="F169" s="2"/>
      <c r="G169" s="2"/>
      <c r="H169" s="2"/>
      <c r="I169" s="2"/>
      <c r="J169" s="2"/>
      <c r="K169" s="2"/>
      <c r="L169" s="2"/>
      <c r="M169" s="2"/>
      <c r="N169" s="2"/>
      <c r="O169" s="2"/>
      <c r="P169" s="2"/>
      <c r="Q169" s="2"/>
      <c r="R169" s="2"/>
      <c r="S169" s="2"/>
      <c r="T169" s="2"/>
      <c r="U169" s="2"/>
      <c r="V169" s="2"/>
      <c r="W169" s="2"/>
      <c r="X169" s="2"/>
      <c r="Y169" s="2"/>
      <c r="Z169" s="2"/>
      <c r="AA169" s="2"/>
      <c r="AB169" s="2"/>
      <c r="AC169" s="2"/>
      <c r="AD169" s="2"/>
      <c r="AE169" s="2"/>
      <c r="AF169" s="2"/>
      <c r="AG169" s="2"/>
      <c r="AH169" s="2"/>
      <c r="AI169" s="2"/>
      <c r="AJ169" s="2"/>
      <c r="AK169" s="2"/>
    </row>
    <row r="170" spans="2:37">
      <c r="B170" s="2"/>
      <c r="C170" s="2"/>
      <c r="D170" s="2"/>
      <c r="E170" s="2"/>
      <c r="F170" s="2"/>
      <c r="G170" s="2"/>
      <c r="H170" s="2"/>
      <c r="I170" s="2"/>
      <c r="J170" s="2"/>
      <c r="K170" s="2"/>
      <c r="L170" s="2"/>
      <c r="M170" s="2"/>
      <c r="N170" s="2"/>
      <c r="O170" s="2"/>
      <c r="P170" s="2"/>
      <c r="Q170" s="2"/>
      <c r="R170" s="2"/>
      <c r="S170" s="2"/>
      <c r="T170" s="2"/>
      <c r="U170" s="2"/>
      <c r="V170" s="2"/>
      <c r="W170" s="2"/>
      <c r="X170" s="2"/>
      <c r="Y170" s="2"/>
      <c r="Z170" s="2"/>
      <c r="AA170" s="2"/>
      <c r="AB170" s="2"/>
      <c r="AC170" s="2"/>
      <c r="AD170" s="2"/>
      <c r="AE170" s="2"/>
      <c r="AF170" s="2"/>
      <c r="AG170" s="2"/>
      <c r="AH170" s="2"/>
      <c r="AI170" s="2"/>
      <c r="AJ170" s="2"/>
      <c r="AK170" s="2"/>
    </row>
    <row r="171" spans="2:37">
      <c r="B171" s="2"/>
      <c r="C171" s="2"/>
      <c r="D171" s="2"/>
      <c r="E171" s="2"/>
      <c r="F171" s="2"/>
      <c r="G171" s="2"/>
      <c r="H171" s="2"/>
      <c r="I171" s="2"/>
      <c r="J171" s="2"/>
      <c r="K171" s="2"/>
      <c r="L171" s="2"/>
      <c r="M171" s="2"/>
      <c r="N171" s="2"/>
      <c r="O171" s="2"/>
      <c r="P171" s="2"/>
      <c r="Q171" s="2"/>
      <c r="R171" s="2"/>
      <c r="S171" s="2"/>
      <c r="T171" s="2"/>
      <c r="U171" s="2"/>
      <c r="V171" s="2"/>
      <c r="W171" s="2"/>
      <c r="X171" s="2"/>
      <c r="Y171" s="2"/>
      <c r="Z171" s="2"/>
      <c r="AA171" s="2"/>
      <c r="AB171" s="2"/>
      <c r="AC171" s="2"/>
      <c r="AD171" s="2"/>
      <c r="AE171" s="2"/>
      <c r="AF171" s="2"/>
      <c r="AG171" s="2"/>
      <c r="AH171" s="2"/>
      <c r="AI171" s="2"/>
      <c r="AJ171" s="2"/>
      <c r="AK171" s="2"/>
    </row>
    <row r="172" spans="2:37">
      <c r="B172" s="2"/>
      <c r="C172" s="2"/>
      <c r="D172" s="2"/>
      <c r="E172" s="2"/>
      <c r="F172" s="2"/>
      <c r="G172" s="2"/>
      <c r="H172" s="2"/>
      <c r="I172" s="2"/>
      <c r="J172" s="2"/>
      <c r="K172" s="2"/>
      <c r="L172" s="2"/>
      <c r="M172" s="2"/>
      <c r="N172" s="2"/>
      <c r="O172" s="2" t="s">
        <v>26</v>
      </c>
      <c r="P172" s="2"/>
      <c r="Q172" s="2"/>
      <c r="R172" s="2"/>
      <c r="S172" s="2"/>
      <c r="T172" s="2"/>
      <c r="U172" s="2"/>
      <c r="V172" s="2"/>
      <c r="W172" s="2"/>
      <c r="X172" s="2"/>
      <c r="Y172" s="2"/>
      <c r="Z172" s="2"/>
      <c r="AA172" s="2"/>
      <c r="AB172" s="2"/>
      <c r="AC172" s="2"/>
      <c r="AD172" s="2"/>
      <c r="AE172" s="2"/>
      <c r="AF172" s="2"/>
      <c r="AG172" s="2"/>
      <c r="AH172" s="2"/>
      <c r="AI172" s="2"/>
      <c r="AJ172" s="2"/>
      <c r="AK172" s="2"/>
    </row>
    <row r="173" spans="2:37">
      <c r="B173" s="2"/>
      <c r="C173" s="2"/>
      <c r="D173" s="2"/>
      <c r="E173" s="2"/>
      <c r="F173" s="2"/>
      <c r="G173" s="2"/>
      <c r="H173" s="2"/>
      <c r="I173" s="2"/>
      <c r="J173" s="2"/>
      <c r="K173" s="2"/>
      <c r="L173" s="2"/>
      <c r="M173" s="2"/>
      <c r="N173" s="2"/>
      <c r="O173" s="2"/>
      <c r="P173" s="82" t="str">
        <f>I4</f>
        <v>2025-2026</v>
      </c>
      <c r="Q173" s="2"/>
      <c r="R173" s="2"/>
      <c r="S173" s="2"/>
      <c r="T173" s="2"/>
      <c r="U173" s="2"/>
      <c r="V173" s="2"/>
      <c r="W173" s="2"/>
      <c r="X173" s="2"/>
      <c r="Y173" s="2"/>
      <c r="Z173" s="2"/>
      <c r="AA173" s="2"/>
      <c r="AB173" s="2"/>
      <c r="AC173" s="2"/>
      <c r="AD173" s="2"/>
      <c r="AE173" s="2"/>
      <c r="AF173" s="2"/>
      <c r="AG173" s="2"/>
      <c r="AH173" s="2"/>
      <c r="AI173" s="2"/>
      <c r="AJ173" s="2"/>
      <c r="AK173" s="2"/>
    </row>
    <row r="174" spans="2:37">
      <c r="B174" s="2"/>
      <c r="C174" s="2"/>
      <c r="D174" s="2"/>
      <c r="E174" s="2"/>
      <c r="F174" s="2"/>
      <c r="G174" s="2"/>
      <c r="H174" s="2"/>
      <c r="I174" s="2"/>
      <c r="J174" s="2"/>
      <c r="K174" s="2"/>
      <c r="L174" s="2"/>
      <c r="M174" s="2"/>
      <c r="N174" s="2"/>
      <c r="O174" s="140" t="str">
        <f t="shared" ref="O174:O180" si="33">$B131&amp;": "&amp;IFERROR(IF(I131/$I$139&gt;=0.01,P174*100,IF(AND(I131/$I$139&lt;0.01,I131/$I$139&gt;0),LEFT(J132,2),0)),0)&amp;"%"</f>
        <v>Instruction: 4%</v>
      </c>
      <c r="P174" s="210">
        <f t="shared" ref="P174:P180" si="34">IF(I131/$I$139&lt;0.01,#N/A,$J131)</f>
        <v>0.04</v>
      </c>
      <c r="Q174" s="140" t="str">
        <f t="shared" ref="Q174:Q180" si="35">LEFT(O174,(FIND(":",O174)-1))</f>
        <v>Instruction</v>
      </c>
      <c r="R174" s="2"/>
      <c r="S174" s="2"/>
      <c r="T174" s="2"/>
      <c r="U174" s="2"/>
      <c r="V174" s="2"/>
      <c r="W174" s="2"/>
      <c r="X174" s="2"/>
      <c r="Y174" s="2"/>
      <c r="Z174" s="2"/>
      <c r="AA174" s="2"/>
      <c r="AB174" s="2"/>
      <c r="AC174" s="2"/>
      <c r="AD174" s="2"/>
      <c r="AE174" s="2"/>
      <c r="AF174" s="2"/>
      <c r="AG174" s="2"/>
      <c r="AH174" s="2"/>
      <c r="AI174" s="2"/>
      <c r="AJ174" s="2"/>
      <c r="AK174" s="2"/>
    </row>
    <row r="175" spans="2:37">
      <c r="B175" s="2"/>
      <c r="C175" s="2"/>
      <c r="D175" s="2"/>
      <c r="E175" s="2"/>
      <c r="F175" s="2"/>
      <c r="G175" s="2"/>
      <c r="H175" s="2"/>
      <c r="I175" s="2"/>
      <c r="J175" s="2"/>
      <c r="K175" s="2"/>
      <c r="L175" s="2"/>
      <c r="M175" s="2"/>
      <c r="N175" s="2"/>
      <c r="O175" s="140" t="str">
        <f t="shared" si="33"/>
        <v>Student Support: 0%</v>
      </c>
      <c r="P175" s="210" t="e">
        <f t="shared" si="34"/>
        <v>#N/A</v>
      </c>
      <c r="Q175" s="140" t="str">
        <f t="shared" si="35"/>
        <v>Student Support</v>
      </c>
      <c r="R175" s="2"/>
      <c r="S175" s="2"/>
      <c r="T175" s="2"/>
      <c r="U175" s="2"/>
      <c r="V175" s="2"/>
      <c r="W175" s="2"/>
      <c r="X175" s="2"/>
      <c r="Y175" s="2"/>
      <c r="Z175" s="2"/>
      <c r="AA175" s="2"/>
      <c r="AB175" s="2"/>
      <c r="AC175" s="2"/>
      <c r="AD175" s="2"/>
      <c r="AE175" s="2"/>
      <c r="AF175" s="2"/>
      <c r="AG175" s="2"/>
      <c r="AH175" s="2"/>
      <c r="AI175" s="2"/>
      <c r="AJ175" s="2"/>
      <c r="AK175" s="2"/>
    </row>
    <row r="176" spans="2:37">
      <c r="B176" s="2"/>
      <c r="C176" s="2"/>
      <c r="D176" s="2"/>
      <c r="E176" s="2"/>
      <c r="F176" s="2"/>
      <c r="G176" s="2"/>
      <c r="H176" s="2"/>
      <c r="I176" s="2"/>
      <c r="J176" s="2"/>
      <c r="K176" s="2"/>
      <c r="L176" s="2"/>
      <c r="M176" s="2"/>
      <c r="N176" s="2"/>
      <c r="O176" s="140" t="str">
        <f t="shared" si="33"/>
        <v>Instructional Support: 0.%</v>
      </c>
      <c r="P176" s="210" t="e">
        <f t="shared" si="34"/>
        <v>#N/A</v>
      </c>
      <c r="Q176" s="140" t="str">
        <f t="shared" si="35"/>
        <v>Instructional Support</v>
      </c>
      <c r="R176" s="2"/>
      <c r="S176" s="2"/>
      <c r="T176" s="2"/>
      <c r="U176" s="2"/>
      <c r="V176" s="2"/>
      <c r="W176" s="2"/>
      <c r="X176" s="2"/>
      <c r="Y176" s="2"/>
      <c r="Z176" s="2"/>
      <c r="AA176" s="2"/>
      <c r="AB176" s="2"/>
      <c r="AC176" s="2"/>
      <c r="AD176" s="2"/>
      <c r="AE176" s="2"/>
      <c r="AF176" s="2"/>
      <c r="AG176" s="2"/>
      <c r="AH176" s="2"/>
      <c r="AI176" s="2"/>
      <c r="AJ176" s="2"/>
      <c r="AK176" s="2"/>
    </row>
    <row r="177" spans="2:37">
      <c r="B177" s="2"/>
      <c r="C177" s="2"/>
      <c r="D177" s="2"/>
      <c r="E177" s="2"/>
      <c r="F177" s="2"/>
      <c r="G177" s="2"/>
      <c r="H177" s="2"/>
      <c r="I177" s="2"/>
      <c r="J177" s="2"/>
      <c r="K177" s="2"/>
      <c r="L177" s="2"/>
      <c r="M177" s="2"/>
      <c r="N177" s="2"/>
      <c r="O177" s="140" t="str">
        <f t="shared" si="33"/>
        <v>Administration &amp; Support: 9%</v>
      </c>
      <c r="P177" s="210">
        <f t="shared" si="34"/>
        <v>0.09</v>
      </c>
      <c r="Q177" s="140" t="str">
        <f t="shared" si="35"/>
        <v>Administration &amp; Support</v>
      </c>
      <c r="R177" s="2"/>
      <c r="S177" s="2"/>
      <c r="T177" s="2"/>
      <c r="U177" s="2"/>
      <c r="V177" s="2"/>
      <c r="W177" s="2"/>
      <c r="X177" s="2"/>
      <c r="Y177" s="2"/>
      <c r="Z177" s="2"/>
      <c r="AA177" s="2"/>
      <c r="AB177" s="2"/>
      <c r="AC177" s="2"/>
      <c r="AD177" s="2"/>
      <c r="AE177" s="2"/>
      <c r="AF177" s="2"/>
      <c r="AG177" s="2"/>
      <c r="AH177" s="2"/>
      <c r="AI177" s="2"/>
      <c r="AJ177" s="2"/>
      <c r="AK177" s="2"/>
    </row>
    <row r="178" spans="2:37">
      <c r="B178" s="2"/>
      <c r="C178" s="2"/>
      <c r="D178" s="2"/>
      <c r="E178" s="2"/>
      <c r="F178" s="2"/>
      <c r="G178" s="2"/>
      <c r="H178" s="2"/>
      <c r="I178" s="2"/>
      <c r="J178" s="2"/>
      <c r="K178" s="2"/>
      <c r="L178" s="2"/>
      <c r="M178" s="2"/>
      <c r="N178" s="2"/>
      <c r="O178" s="140" t="str">
        <f t="shared" si="33"/>
        <v>Operations &amp; Maintenance: 75%</v>
      </c>
      <c r="P178" s="210">
        <f t="shared" si="34"/>
        <v>0.75</v>
      </c>
      <c r="Q178" s="140" t="str">
        <f t="shared" si="35"/>
        <v>Operations &amp; Maintenance</v>
      </c>
      <c r="R178" s="2"/>
      <c r="S178" s="2"/>
      <c r="T178" s="2"/>
      <c r="U178" s="2"/>
      <c r="V178" s="2"/>
      <c r="W178" s="2"/>
      <c r="X178" s="2"/>
      <c r="Y178" s="2"/>
      <c r="Z178" s="2"/>
      <c r="AA178" s="2"/>
      <c r="AB178" s="2"/>
      <c r="AC178" s="2"/>
      <c r="AD178" s="2"/>
      <c r="AE178" s="2"/>
      <c r="AF178" s="2"/>
      <c r="AG178" s="2"/>
      <c r="AH178" s="2"/>
      <c r="AI178" s="2"/>
      <c r="AJ178" s="2"/>
      <c r="AK178" s="2"/>
    </row>
    <row r="179" spans="2:37">
      <c r="B179" s="2"/>
      <c r="C179" s="2"/>
      <c r="D179" s="2"/>
      <c r="E179" s="2"/>
      <c r="F179" s="2"/>
      <c r="G179" s="2"/>
      <c r="H179" s="2"/>
      <c r="I179" s="2"/>
      <c r="J179" s="2"/>
      <c r="K179" s="2"/>
      <c r="L179" s="2"/>
      <c r="M179" s="2"/>
      <c r="N179" s="2"/>
      <c r="O179" s="140" t="str">
        <f t="shared" si="33"/>
        <v>Transportation: 12%</v>
      </c>
      <c r="P179" s="210">
        <f t="shared" si="34"/>
        <v>0.12</v>
      </c>
      <c r="Q179" s="140" t="str">
        <f t="shared" si="35"/>
        <v>Transportation</v>
      </c>
      <c r="R179" s="2"/>
      <c r="S179" s="2"/>
      <c r="T179" s="2"/>
      <c r="U179" s="2"/>
      <c r="V179" s="2"/>
      <c r="W179" s="2"/>
      <c r="X179" s="2"/>
      <c r="Y179" s="2"/>
      <c r="Z179" s="2"/>
      <c r="AA179" s="2"/>
      <c r="AB179" s="2"/>
      <c r="AC179" s="2"/>
      <c r="AD179" s="2"/>
      <c r="AE179" s="2"/>
      <c r="AF179" s="2"/>
      <c r="AG179" s="2"/>
      <c r="AH179" s="2"/>
      <c r="AI179" s="2"/>
      <c r="AJ179" s="2"/>
      <c r="AK179" s="2"/>
    </row>
    <row r="180" spans="2:37">
      <c r="B180" s="2"/>
      <c r="C180" s="2"/>
      <c r="D180" s="2"/>
      <c r="E180" s="2"/>
      <c r="F180" s="2"/>
      <c r="G180" s="2"/>
      <c r="H180" s="2"/>
      <c r="I180" s="2"/>
      <c r="J180" s="2"/>
      <c r="K180" s="2"/>
      <c r="L180" s="2"/>
      <c r="M180" s="2"/>
      <c r="N180" s="2"/>
      <c r="O180" s="140" t="str">
        <f t="shared" si="33"/>
        <v>Capital Improvements: 0%</v>
      </c>
      <c r="P180" s="210" t="e">
        <f t="shared" si="34"/>
        <v>#N/A</v>
      </c>
      <c r="Q180" s="140" t="str">
        <f t="shared" si="35"/>
        <v>Capital Improvements</v>
      </c>
      <c r="R180" s="2"/>
      <c r="S180" s="2"/>
      <c r="T180" s="2"/>
      <c r="U180" s="2"/>
      <c r="V180" s="2"/>
      <c r="W180" s="2"/>
      <c r="X180" s="2"/>
      <c r="Y180" s="2"/>
      <c r="Z180" s="2"/>
      <c r="AA180" s="2"/>
      <c r="AB180" s="2"/>
      <c r="AC180" s="2"/>
      <c r="AD180" s="2"/>
      <c r="AE180" s="2"/>
      <c r="AF180" s="2"/>
      <c r="AG180" s="2"/>
      <c r="AH180" s="2"/>
      <c r="AI180" s="2"/>
      <c r="AJ180" s="2"/>
      <c r="AK180" s="2"/>
    </row>
    <row r="181" spans="2:37">
      <c r="B181" s="2"/>
      <c r="C181" s="2"/>
      <c r="D181" s="2"/>
      <c r="E181" s="2"/>
      <c r="F181" s="2"/>
      <c r="G181" s="2"/>
      <c r="H181" s="2"/>
      <c r="I181" s="2"/>
      <c r="J181" s="2"/>
      <c r="K181" s="2"/>
      <c r="L181" s="2"/>
      <c r="M181" s="2"/>
      <c r="N181" s="2"/>
      <c r="O181" s="140" t="str">
        <f>$B138&amp;": "&amp;IFERROR(IF(I138/$I$139&gt;=0.01,P181*100,IF(AND(I138/$I$139&lt;0.01,I138/$I$139&gt;0),LEFT(J139,2),0)),0)&amp;"%"</f>
        <v>Other Costs: 0%</v>
      </c>
      <c r="P181" s="210" t="e">
        <f>IF(I138/$I$139&lt;0.01,#N/A,$J138)</f>
        <v>#N/A</v>
      </c>
      <c r="Q181" s="140" t="str">
        <f>LEFT(O181,(FIND(":",O181)-1))</f>
        <v>Other Costs</v>
      </c>
      <c r="R181" s="2"/>
      <c r="S181" s="2"/>
      <c r="T181" s="2"/>
      <c r="U181" s="2"/>
      <c r="V181" s="2"/>
      <c r="W181" s="2"/>
      <c r="X181" s="2"/>
      <c r="Y181" s="2"/>
      <c r="Z181" s="2"/>
      <c r="AA181" s="2"/>
      <c r="AB181" s="2"/>
      <c r="AC181" s="2"/>
      <c r="AD181" s="2"/>
      <c r="AE181" s="2"/>
      <c r="AF181" s="2"/>
      <c r="AG181" s="2"/>
      <c r="AH181" s="2"/>
      <c r="AI181" s="2"/>
      <c r="AJ181" s="2"/>
      <c r="AK181" s="2"/>
    </row>
    <row r="182" spans="2:37">
      <c r="B182" s="2"/>
      <c r="C182" s="2"/>
      <c r="D182" s="2"/>
      <c r="E182" s="2"/>
      <c r="F182" s="2"/>
      <c r="G182" s="2"/>
      <c r="H182" s="2"/>
      <c r="I182" s="2"/>
      <c r="J182" s="2"/>
      <c r="K182" s="2"/>
      <c r="L182" s="2"/>
      <c r="M182" s="2"/>
      <c r="N182" s="2"/>
      <c r="O182" s="165"/>
      <c r="P182" s="2"/>
      <c r="Q182" s="2"/>
      <c r="R182" s="2"/>
      <c r="S182" s="2"/>
      <c r="T182" s="2"/>
      <c r="U182" s="2"/>
      <c r="V182" s="2"/>
      <c r="W182" s="2"/>
      <c r="X182" s="2"/>
      <c r="Y182" s="2"/>
      <c r="Z182" s="2"/>
      <c r="AA182" s="2"/>
      <c r="AB182" s="2"/>
      <c r="AC182" s="2"/>
      <c r="AD182" s="2"/>
      <c r="AE182" s="2"/>
      <c r="AF182" s="2"/>
      <c r="AG182" s="2"/>
      <c r="AH182" s="2"/>
      <c r="AI182" s="2"/>
      <c r="AJ182" s="2"/>
      <c r="AK182" s="2"/>
    </row>
    <row r="183" spans="2:37">
      <c r="B183" s="2"/>
      <c r="C183" s="2"/>
      <c r="D183" s="2"/>
      <c r="E183" s="2"/>
      <c r="F183" s="2"/>
      <c r="G183" s="2"/>
      <c r="H183" s="2"/>
      <c r="I183" s="2"/>
      <c r="J183" s="2"/>
      <c r="K183" s="2"/>
      <c r="L183" s="2"/>
      <c r="M183" s="2"/>
      <c r="N183" s="2"/>
      <c r="O183" s="165"/>
      <c r="P183" s="2"/>
      <c r="Q183" s="2"/>
      <c r="R183" s="2"/>
      <c r="S183" s="2"/>
      <c r="T183" s="2"/>
      <c r="U183" s="2"/>
      <c r="V183" s="2"/>
      <c r="W183" s="2"/>
      <c r="X183" s="2"/>
      <c r="Y183" s="2"/>
      <c r="Z183" s="2"/>
      <c r="AA183" s="2"/>
      <c r="AB183" s="2"/>
      <c r="AC183" s="2"/>
      <c r="AD183" s="2"/>
      <c r="AE183" s="2"/>
      <c r="AF183" s="2"/>
      <c r="AG183" s="2"/>
      <c r="AH183" s="2"/>
      <c r="AI183" s="2"/>
      <c r="AJ183" s="2"/>
      <c r="AK183" s="2"/>
    </row>
    <row r="184" spans="2:37">
      <c r="B184" s="2"/>
      <c r="C184" s="2"/>
      <c r="D184" s="2"/>
      <c r="E184" s="2"/>
      <c r="F184" s="2"/>
      <c r="G184" s="2"/>
      <c r="H184" s="2"/>
      <c r="I184" s="2"/>
      <c r="J184" s="2"/>
      <c r="K184" s="2"/>
      <c r="L184" s="2"/>
      <c r="M184" s="2"/>
      <c r="N184" s="2"/>
      <c r="O184" s="165"/>
      <c r="P184" s="2"/>
      <c r="Q184" s="2"/>
      <c r="R184" s="2"/>
      <c r="S184" s="2"/>
      <c r="T184" s="2"/>
      <c r="U184" s="2"/>
      <c r="V184" s="2"/>
      <c r="W184" s="2"/>
      <c r="X184" s="2"/>
      <c r="Y184" s="2"/>
      <c r="Z184" s="2"/>
      <c r="AA184" s="2"/>
      <c r="AB184" s="2"/>
      <c r="AC184" s="2"/>
      <c r="AD184" s="2"/>
      <c r="AE184" s="2"/>
      <c r="AF184" s="2"/>
      <c r="AG184" s="2"/>
      <c r="AH184" s="2"/>
      <c r="AI184" s="2"/>
      <c r="AJ184" s="2"/>
      <c r="AK184" s="2"/>
    </row>
    <row r="185" spans="2:37">
      <c r="B185" s="2"/>
      <c r="C185" s="2"/>
      <c r="D185" s="2"/>
      <c r="E185" s="2"/>
      <c r="F185" s="2"/>
      <c r="G185" s="2"/>
      <c r="H185" s="2"/>
      <c r="I185" s="2"/>
      <c r="J185" s="2"/>
      <c r="K185" s="2"/>
      <c r="L185" s="2"/>
      <c r="M185" s="2"/>
      <c r="N185" s="2"/>
      <c r="O185" s="165"/>
      <c r="P185" s="2"/>
      <c r="Q185" s="2"/>
      <c r="R185" s="2"/>
      <c r="S185" s="2"/>
      <c r="T185" s="2"/>
      <c r="U185" s="2"/>
      <c r="V185" s="2"/>
      <c r="W185" s="2"/>
      <c r="X185" s="2"/>
      <c r="Y185" s="2"/>
      <c r="Z185" s="2"/>
      <c r="AA185" s="2"/>
      <c r="AB185" s="2"/>
      <c r="AC185" s="2"/>
      <c r="AD185" s="2"/>
      <c r="AE185" s="2"/>
      <c r="AF185" s="2"/>
      <c r="AG185" s="2"/>
      <c r="AH185" s="2"/>
      <c r="AI185" s="2"/>
      <c r="AJ185" s="2"/>
      <c r="AK185" s="2"/>
    </row>
    <row r="186" spans="2:37">
      <c r="B186" s="2"/>
      <c r="C186" s="2"/>
      <c r="D186" s="2"/>
      <c r="E186" s="2"/>
      <c r="F186" s="2"/>
      <c r="G186" s="2"/>
      <c r="H186" s="2"/>
      <c r="I186" s="2"/>
      <c r="J186" s="2"/>
      <c r="K186" s="2"/>
      <c r="L186" s="2"/>
      <c r="M186" s="2"/>
      <c r="N186" s="2"/>
      <c r="O186" s="165"/>
      <c r="P186" s="2"/>
      <c r="Q186" s="2"/>
      <c r="R186" s="2"/>
      <c r="S186" s="2"/>
      <c r="T186" s="2"/>
      <c r="U186" s="2"/>
      <c r="V186" s="2"/>
      <c r="W186" s="2"/>
      <c r="X186" s="2"/>
      <c r="Y186" s="2"/>
      <c r="Z186" s="2"/>
      <c r="AA186" s="2"/>
      <c r="AB186" s="2"/>
      <c r="AC186" s="2"/>
      <c r="AD186" s="2"/>
      <c r="AE186" s="2"/>
      <c r="AF186" s="2"/>
      <c r="AG186" s="2"/>
      <c r="AH186" s="2"/>
      <c r="AI186" s="2"/>
      <c r="AJ186" s="2"/>
      <c r="AK186" s="2"/>
    </row>
    <row r="187" spans="2:37">
      <c r="B187" s="2"/>
      <c r="C187" s="2"/>
      <c r="D187" s="2"/>
      <c r="E187" s="2"/>
      <c r="F187" s="2"/>
      <c r="G187" s="2"/>
      <c r="H187" s="2"/>
      <c r="I187" s="2"/>
      <c r="J187" s="2"/>
      <c r="K187" s="2"/>
      <c r="L187" s="2"/>
      <c r="M187" s="2"/>
      <c r="N187" s="2"/>
      <c r="O187" s="165"/>
      <c r="P187" s="2"/>
      <c r="Q187" s="2"/>
      <c r="R187" s="2"/>
      <c r="S187" s="2"/>
      <c r="T187" s="2"/>
      <c r="U187" s="2"/>
      <c r="V187" s="2"/>
      <c r="W187" s="2"/>
      <c r="X187" s="2"/>
      <c r="Y187" s="2"/>
      <c r="Z187" s="2"/>
      <c r="AA187" s="2"/>
      <c r="AB187" s="2"/>
      <c r="AC187" s="2"/>
      <c r="AD187" s="2"/>
      <c r="AE187" s="2"/>
      <c r="AF187" s="2"/>
      <c r="AG187" s="2"/>
      <c r="AH187" s="2"/>
      <c r="AI187" s="2"/>
      <c r="AJ187" s="2"/>
      <c r="AK187" s="2"/>
    </row>
    <row r="188" spans="2:37">
      <c r="B188" s="2"/>
      <c r="C188" s="2"/>
      <c r="D188" s="2"/>
      <c r="E188" s="2"/>
      <c r="F188" s="2"/>
      <c r="G188" s="2"/>
      <c r="H188" s="2"/>
      <c r="I188" s="2"/>
      <c r="J188" s="2"/>
      <c r="K188" s="2"/>
      <c r="L188" s="2"/>
      <c r="M188" s="2"/>
      <c r="N188" s="2"/>
      <c r="O188" s="165"/>
      <c r="P188" s="2"/>
      <c r="Q188" s="2"/>
      <c r="R188" s="2"/>
      <c r="S188" s="2"/>
      <c r="T188" s="2"/>
      <c r="U188" s="2"/>
      <c r="V188" s="2"/>
      <c r="W188" s="2"/>
      <c r="X188" s="2"/>
      <c r="Y188" s="2"/>
      <c r="Z188" s="2"/>
      <c r="AA188" s="2"/>
      <c r="AB188" s="2"/>
      <c r="AC188" s="2"/>
      <c r="AD188" s="2"/>
      <c r="AE188" s="2"/>
      <c r="AF188" s="2"/>
      <c r="AG188" s="2"/>
      <c r="AH188" s="2"/>
      <c r="AI188" s="2"/>
      <c r="AJ188" s="2"/>
      <c r="AK188" s="2"/>
    </row>
    <row r="189" spans="2:37" ht="18">
      <c r="B189" s="84" t="s">
        <v>27</v>
      </c>
      <c r="C189" s="47"/>
      <c r="D189" s="47"/>
      <c r="E189" s="47"/>
      <c r="F189" s="47"/>
      <c r="G189" s="47"/>
      <c r="H189" s="47"/>
      <c r="I189" s="47"/>
      <c r="J189" s="47"/>
      <c r="K189" s="143"/>
      <c r="L189" s="143"/>
      <c r="M189" s="2"/>
      <c r="N189" s="2"/>
      <c r="O189" s="165"/>
      <c r="P189" s="2"/>
      <c r="Q189" s="2"/>
      <c r="R189" s="2"/>
      <c r="S189" s="2"/>
      <c r="T189" s="2"/>
      <c r="U189" s="2"/>
      <c r="V189" s="2"/>
      <c r="W189" s="2"/>
      <c r="X189" s="2"/>
      <c r="Y189" s="2"/>
      <c r="Z189" s="2"/>
      <c r="AA189" s="2"/>
      <c r="AB189" s="2"/>
      <c r="AC189" s="2"/>
      <c r="AD189" s="2"/>
      <c r="AE189" s="2"/>
      <c r="AF189" s="2"/>
      <c r="AG189" s="2"/>
      <c r="AH189" s="2"/>
      <c r="AI189" s="2"/>
      <c r="AJ189" s="2"/>
      <c r="AK189" s="2"/>
    </row>
    <row r="190" spans="2:37" ht="18">
      <c r="B190" s="84" t="s">
        <v>188</v>
      </c>
      <c r="C190" s="47"/>
      <c r="D190" s="47"/>
      <c r="E190" s="47"/>
      <c r="F190" s="47"/>
      <c r="G190" s="47"/>
      <c r="H190" s="47"/>
      <c r="I190" s="47"/>
      <c r="J190" s="47"/>
      <c r="K190" s="143"/>
      <c r="L190" s="143"/>
      <c r="M190" s="165"/>
      <c r="N190" s="165"/>
      <c r="O190" s="165"/>
      <c r="P190" s="2"/>
      <c r="Q190" s="2"/>
      <c r="R190" s="2"/>
      <c r="S190" s="2"/>
      <c r="T190" s="2"/>
      <c r="U190" s="2"/>
      <c r="V190" s="2"/>
      <c r="W190" s="2"/>
      <c r="X190" s="2"/>
      <c r="Y190" s="2"/>
      <c r="Z190" s="2"/>
      <c r="AA190" s="2"/>
      <c r="AB190" s="2"/>
      <c r="AC190" s="2"/>
      <c r="AD190" s="2"/>
      <c r="AE190" s="2"/>
      <c r="AF190" s="2"/>
      <c r="AG190" s="2"/>
      <c r="AH190" s="2"/>
      <c r="AI190" s="2"/>
      <c r="AJ190" s="2"/>
      <c r="AK190" s="2"/>
    </row>
    <row r="191" spans="2:37">
      <c r="B191" s="2"/>
      <c r="C191" s="2"/>
      <c r="D191" s="2"/>
      <c r="E191" s="2"/>
      <c r="F191" s="2"/>
      <c r="G191" s="2"/>
      <c r="H191" s="2"/>
      <c r="I191" s="2"/>
      <c r="J191" s="2"/>
      <c r="K191" s="2"/>
      <c r="L191" s="2"/>
      <c r="M191" s="165"/>
      <c r="N191" s="165"/>
      <c r="O191" s="2"/>
      <c r="P191" s="2"/>
      <c r="Q191" s="2"/>
      <c r="R191" s="2"/>
      <c r="S191" s="2"/>
      <c r="T191" s="2"/>
      <c r="U191" s="2"/>
      <c r="V191" s="2"/>
      <c r="W191" s="2"/>
      <c r="X191" s="2"/>
      <c r="Y191" s="2"/>
      <c r="Z191" s="2"/>
      <c r="AA191" s="2"/>
      <c r="AB191" s="2"/>
      <c r="AC191" s="2"/>
      <c r="AD191" s="2"/>
      <c r="AE191" s="2"/>
      <c r="AF191" s="2"/>
      <c r="AG191" s="2"/>
      <c r="AH191" s="2"/>
      <c r="AI191" s="2"/>
      <c r="AJ191" s="2"/>
      <c r="AK191" s="2"/>
    </row>
    <row r="192" spans="2:37">
      <c r="B192" s="2"/>
      <c r="C192" s="212" t="s">
        <v>1</v>
      </c>
      <c r="D192" s="270"/>
      <c r="E192" s="271" t="s">
        <v>2</v>
      </c>
      <c r="F192" s="272"/>
      <c r="G192" s="271" t="s">
        <v>2</v>
      </c>
      <c r="H192" s="271"/>
      <c r="I192" s="273"/>
      <c r="J192" s="271" t="s">
        <v>2</v>
      </c>
      <c r="K192" s="808"/>
      <c r="L192" s="694"/>
      <c r="M192" s="165"/>
      <c r="N192" s="165"/>
      <c r="O192" s="2"/>
      <c r="P192" s="2"/>
      <c r="Q192" s="2"/>
      <c r="R192" s="2"/>
      <c r="S192" s="2"/>
      <c r="T192" s="2"/>
      <c r="U192" s="2"/>
      <c r="V192" s="2"/>
      <c r="W192" s="2"/>
      <c r="X192" s="2"/>
      <c r="Y192" s="2"/>
      <c r="Z192" s="2"/>
      <c r="AA192" s="2"/>
      <c r="AB192" s="2"/>
      <c r="AC192" s="2"/>
      <c r="AD192" s="2"/>
      <c r="AE192" s="2"/>
      <c r="AF192" s="2"/>
      <c r="AG192" s="2"/>
      <c r="AH192" s="2"/>
      <c r="AI192" s="2"/>
      <c r="AJ192" s="2"/>
      <c r="AK192" s="2"/>
    </row>
    <row r="193" spans="2:37">
      <c r="B193" s="2"/>
      <c r="C193" s="145"/>
      <c r="D193" s="274" t="str">
        <f>D4</f>
        <v>2023-2024</v>
      </c>
      <c r="E193" s="275" t="s">
        <v>3</v>
      </c>
      <c r="F193" s="276" t="str">
        <f>F4</f>
        <v>2024-2025</v>
      </c>
      <c r="G193" s="275" t="s">
        <v>3</v>
      </c>
      <c r="H193" s="275" t="s">
        <v>2</v>
      </c>
      <c r="I193" s="276" t="str">
        <f>I4</f>
        <v>2025-2026</v>
      </c>
      <c r="J193" s="275" t="s">
        <v>3</v>
      </c>
      <c r="K193" s="809" t="s">
        <v>2</v>
      </c>
      <c r="L193" s="698"/>
      <c r="M193" s="165"/>
      <c r="N193" s="165"/>
      <c r="O193" s="2"/>
      <c r="P193" s="2"/>
      <c r="Q193" s="2"/>
      <c r="R193" s="2"/>
      <c r="S193" s="2"/>
      <c r="T193" s="2"/>
      <c r="U193" s="2"/>
      <c r="V193" s="2"/>
      <c r="W193" s="2"/>
      <c r="X193" s="2"/>
      <c r="Y193" s="2"/>
      <c r="Z193" s="2"/>
      <c r="AA193" s="2"/>
      <c r="AB193" s="2"/>
      <c r="AC193" s="2"/>
      <c r="AD193" s="2"/>
      <c r="AE193" s="2"/>
      <c r="AF193" s="2"/>
      <c r="AG193" s="2"/>
      <c r="AH193" s="2"/>
      <c r="AI193" s="2"/>
      <c r="AJ193" s="2"/>
      <c r="AK193" s="2"/>
    </row>
    <row r="194" spans="2:37">
      <c r="B194" s="2"/>
      <c r="C194" s="220" t="s">
        <v>4</v>
      </c>
      <c r="D194" s="277" t="s">
        <v>5</v>
      </c>
      <c r="E194" s="278" t="s">
        <v>143</v>
      </c>
      <c r="F194" s="278" t="s">
        <v>5</v>
      </c>
      <c r="G194" s="278" t="s">
        <v>143</v>
      </c>
      <c r="H194" s="278" t="s">
        <v>144</v>
      </c>
      <c r="I194" s="278" t="s">
        <v>6</v>
      </c>
      <c r="J194" s="278" t="s">
        <v>143</v>
      </c>
      <c r="K194" s="802" t="s">
        <v>144</v>
      </c>
      <c r="L194" s="803"/>
      <c r="M194" s="165"/>
      <c r="N194" s="165"/>
      <c r="O194" s="2"/>
      <c r="P194" s="2"/>
      <c r="Q194" s="2"/>
      <c r="R194" s="2"/>
      <c r="S194" s="2"/>
      <c r="T194" s="2"/>
      <c r="U194" s="2"/>
      <c r="V194" s="2"/>
      <c r="W194" s="2"/>
      <c r="X194" s="2"/>
      <c r="Y194" s="2"/>
      <c r="Z194" s="2"/>
      <c r="AA194" s="2"/>
      <c r="AB194" s="2"/>
      <c r="AC194" s="2"/>
      <c r="AD194" s="2"/>
      <c r="AE194" s="2"/>
      <c r="AF194" s="2"/>
      <c r="AG194" s="2"/>
      <c r="AH194" s="2"/>
      <c r="AI194" s="2"/>
      <c r="AJ194" s="2"/>
      <c r="AK194" s="2"/>
    </row>
    <row r="195" spans="2:37">
      <c r="B195" s="279" t="s">
        <v>8</v>
      </c>
      <c r="C195" s="279"/>
      <c r="D195" s="280">
        <f>D131+D67</f>
        <v>516640</v>
      </c>
      <c r="E195" s="281">
        <f t="shared" ref="E195:E201" si="36">IF(OR(D$203=0,D195=0),0,IF(D195/D$203&lt;0.001,"&lt;1%",D195/D$203))</f>
        <v>0.49</v>
      </c>
      <c r="F195" s="280">
        <f t="shared" ref="F195:F202" si="37">F67+F131</f>
        <v>509814</v>
      </c>
      <c r="G195" s="281">
        <f t="shared" ref="G195:G201" si="38">IF(OR(F$203=0,F195=0),0,IF(F195/F$203&lt;0.001,"&lt;1%",F195/F$203))</f>
        <v>0.51</v>
      </c>
      <c r="H195" s="281">
        <f t="shared" ref="H195:H204" si="39">IF(D195=0,0,((F195-D195)/D195))</f>
        <v>-0.01</v>
      </c>
      <c r="I195" s="280">
        <f t="shared" ref="I195:I202" si="40">I67+I131</f>
        <v>588606</v>
      </c>
      <c r="J195" s="281">
        <f t="shared" ref="J195:J201" si="41">IF(OR(I$203=0,I195=0),0,IF(I195/I$203&lt;0.001,"&lt;1%",I195/I$203))</f>
        <v>0.46</v>
      </c>
      <c r="K195" s="804">
        <f t="shared" ref="K195:K204" si="42">IF(F195=0,0,((I195-F195)/F195))</f>
        <v>0.15</v>
      </c>
      <c r="L195" s="805"/>
      <c r="M195" s="165"/>
      <c r="N195" s="165"/>
      <c r="O195" s="2"/>
      <c r="P195" s="2"/>
      <c r="Q195" s="2"/>
      <c r="R195" s="2"/>
      <c r="S195" s="2"/>
      <c r="T195" s="2"/>
      <c r="U195" s="2"/>
      <c r="V195" s="2"/>
      <c r="W195" s="2"/>
      <c r="X195" s="2"/>
      <c r="Y195" s="2"/>
      <c r="Z195" s="2"/>
      <c r="AA195" s="2"/>
      <c r="AB195" s="2"/>
      <c r="AC195" s="2"/>
      <c r="AD195" s="2"/>
      <c r="AE195" s="2"/>
      <c r="AF195" s="2"/>
      <c r="AG195" s="2"/>
      <c r="AH195" s="2"/>
      <c r="AI195" s="2"/>
      <c r="AJ195" s="2"/>
      <c r="AK195" s="2"/>
    </row>
    <row r="196" spans="2:37">
      <c r="B196" s="44" t="s">
        <v>10</v>
      </c>
      <c r="C196" s="44"/>
      <c r="D196" s="226">
        <f t="shared" ref="D196:D202" si="43">D68+D132</f>
        <v>2063</v>
      </c>
      <c r="E196" s="227">
        <f t="shared" si="36"/>
        <v>0</v>
      </c>
      <c r="F196" s="226">
        <f t="shared" si="37"/>
        <v>267</v>
      </c>
      <c r="G196" s="227" t="str">
        <f t="shared" si="38"/>
        <v>&lt;1%</v>
      </c>
      <c r="H196" s="227">
        <f t="shared" si="39"/>
        <v>-0.87</v>
      </c>
      <c r="I196" s="226">
        <f t="shared" si="40"/>
        <v>0</v>
      </c>
      <c r="J196" s="227">
        <f t="shared" si="41"/>
        <v>0</v>
      </c>
      <c r="K196" s="796">
        <f t="shared" si="42"/>
        <v>-1</v>
      </c>
      <c r="L196" s="797"/>
      <c r="M196" s="2"/>
      <c r="N196" s="2"/>
      <c r="O196" s="2"/>
      <c r="P196" s="2"/>
      <c r="Q196" s="2"/>
      <c r="R196" s="2"/>
      <c r="S196" s="2"/>
      <c r="T196" s="2"/>
      <c r="U196" s="2"/>
      <c r="V196" s="2"/>
      <c r="W196" s="2"/>
      <c r="X196" s="2"/>
      <c r="Y196" s="2"/>
      <c r="Z196" s="2"/>
      <c r="AA196" s="2"/>
      <c r="AB196" s="2"/>
      <c r="AC196" s="2"/>
      <c r="AD196" s="2"/>
      <c r="AE196" s="2"/>
      <c r="AF196" s="2"/>
      <c r="AG196" s="2"/>
      <c r="AH196" s="2"/>
      <c r="AI196" s="2"/>
      <c r="AJ196" s="2"/>
      <c r="AK196" s="2"/>
    </row>
    <row r="197" spans="2:37">
      <c r="B197" s="282" t="s">
        <v>11</v>
      </c>
      <c r="C197" s="282"/>
      <c r="D197" s="283">
        <f t="shared" si="43"/>
        <v>0</v>
      </c>
      <c r="E197" s="284">
        <f t="shared" si="36"/>
        <v>0</v>
      </c>
      <c r="F197" s="283">
        <f t="shared" si="37"/>
        <v>195</v>
      </c>
      <c r="G197" s="284" t="str">
        <f t="shared" si="38"/>
        <v>&lt;1%</v>
      </c>
      <c r="H197" s="284">
        <f t="shared" si="39"/>
        <v>0</v>
      </c>
      <c r="I197" s="283">
        <f t="shared" si="40"/>
        <v>100</v>
      </c>
      <c r="J197" s="284" t="str">
        <f t="shared" si="41"/>
        <v>&lt;1%</v>
      </c>
      <c r="K197" s="794">
        <f t="shared" si="42"/>
        <v>-0.49</v>
      </c>
      <c r="L197" s="795"/>
      <c r="M197" s="2"/>
      <c r="N197" s="2"/>
      <c r="O197" s="2"/>
      <c r="P197" s="2"/>
      <c r="Q197" s="2"/>
      <c r="R197" s="2"/>
      <c r="S197" s="2"/>
      <c r="T197" s="2"/>
      <c r="U197" s="2"/>
      <c r="V197" s="2"/>
      <c r="W197" s="2"/>
      <c r="X197" s="2"/>
      <c r="Y197" s="2"/>
      <c r="Z197" s="2"/>
      <c r="AA197" s="2"/>
      <c r="AB197" s="2"/>
      <c r="AC197" s="2"/>
      <c r="AD197" s="2"/>
      <c r="AE197" s="2"/>
      <c r="AF197" s="2"/>
      <c r="AG197" s="2"/>
      <c r="AH197" s="2"/>
      <c r="AI197" s="2"/>
      <c r="AJ197" s="2"/>
      <c r="AK197" s="2"/>
    </row>
    <row r="198" spans="2:37">
      <c r="B198" s="44" t="s">
        <v>131</v>
      </c>
      <c r="C198" s="44"/>
      <c r="D198" s="226">
        <f t="shared" si="43"/>
        <v>230019</v>
      </c>
      <c r="E198" s="227">
        <f t="shared" si="36"/>
        <v>0.22</v>
      </c>
      <c r="F198" s="226">
        <f t="shared" si="37"/>
        <v>241259</v>
      </c>
      <c r="G198" s="227">
        <f t="shared" si="38"/>
        <v>0.24</v>
      </c>
      <c r="H198" s="227">
        <f t="shared" si="39"/>
        <v>0.05</v>
      </c>
      <c r="I198" s="226">
        <f t="shared" si="40"/>
        <v>249850</v>
      </c>
      <c r="J198" s="227">
        <f t="shared" si="41"/>
        <v>0.19</v>
      </c>
      <c r="K198" s="796">
        <f t="shared" si="42"/>
        <v>0.04</v>
      </c>
      <c r="L198" s="797"/>
      <c r="M198" s="2"/>
      <c r="N198" s="2"/>
      <c r="O198" s="2"/>
      <c r="P198" s="2"/>
      <c r="Q198" s="2"/>
      <c r="R198" s="2"/>
      <c r="S198" s="2"/>
      <c r="T198" s="2"/>
      <c r="U198" s="2"/>
      <c r="V198" s="2"/>
      <c r="W198" s="2"/>
      <c r="X198" s="2"/>
      <c r="Y198" s="2"/>
      <c r="Z198" s="2"/>
      <c r="AA198" s="2"/>
      <c r="AB198" s="2"/>
      <c r="AC198" s="2"/>
      <c r="AD198" s="2"/>
      <c r="AE198" s="2"/>
      <c r="AF198" s="2"/>
      <c r="AG198" s="2"/>
      <c r="AH198" s="2"/>
      <c r="AI198" s="2"/>
      <c r="AJ198" s="2"/>
      <c r="AK198" s="2"/>
    </row>
    <row r="199" spans="2:37">
      <c r="B199" s="282" t="s">
        <v>12</v>
      </c>
      <c r="C199" s="282"/>
      <c r="D199" s="283">
        <f t="shared" si="43"/>
        <v>249852</v>
      </c>
      <c r="E199" s="284">
        <f t="shared" si="36"/>
        <v>0.24</v>
      </c>
      <c r="F199" s="283">
        <f t="shared" si="37"/>
        <v>199155</v>
      </c>
      <c r="G199" s="284">
        <f t="shared" si="38"/>
        <v>0.2</v>
      </c>
      <c r="H199" s="284">
        <f t="shared" si="39"/>
        <v>-0.2</v>
      </c>
      <c r="I199" s="283">
        <f t="shared" si="40"/>
        <v>378442</v>
      </c>
      <c r="J199" s="284">
        <f t="shared" si="41"/>
        <v>0.28999999999999998</v>
      </c>
      <c r="K199" s="794">
        <f t="shared" si="42"/>
        <v>0.9</v>
      </c>
      <c r="L199" s="795"/>
      <c r="M199" s="2"/>
      <c r="N199" s="2"/>
      <c r="O199" s="2"/>
      <c r="P199" s="2"/>
      <c r="Q199" s="2"/>
      <c r="R199" s="2"/>
      <c r="S199" s="2"/>
      <c r="T199" s="2"/>
      <c r="U199" s="2"/>
      <c r="V199" s="2"/>
      <c r="W199" s="2"/>
      <c r="AB199" s="2"/>
      <c r="AC199" s="2"/>
      <c r="AD199" s="2"/>
      <c r="AE199" s="2"/>
      <c r="AF199" s="2"/>
      <c r="AG199" s="2"/>
      <c r="AH199" s="2"/>
      <c r="AI199" s="2"/>
      <c r="AJ199" s="2"/>
      <c r="AK199" s="2"/>
    </row>
    <row r="200" spans="2:37">
      <c r="B200" s="44" t="s">
        <v>13</v>
      </c>
      <c r="C200" s="44"/>
      <c r="D200" s="226">
        <f t="shared" si="43"/>
        <v>52305</v>
      </c>
      <c r="E200" s="227">
        <f t="shared" si="36"/>
        <v>0.05</v>
      </c>
      <c r="F200" s="226">
        <f t="shared" si="37"/>
        <v>56003</v>
      </c>
      <c r="G200" s="227">
        <f t="shared" si="38"/>
        <v>0.06</v>
      </c>
      <c r="H200" s="227">
        <f t="shared" si="39"/>
        <v>7.0000000000000007E-2</v>
      </c>
      <c r="I200" s="226">
        <f t="shared" si="40"/>
        <v>69599</v>
      </c>
      <c r="J200" s="227">
        <f t="shared" si="41"/>
        <v>0.05</v>
      </c>
      <c r="K200" s="796">
        <f t="shared" si="42"/>
        <v>0.24</v>
      </c>
      <c r="L200" s="797"/>
      <c r="M200" s="2"/>
      <c r="N200" s="2"/>
      <c r="O200" s="2"/>
      <c r="P200" s="2"/>
      <c r="Q200" s="2"/>
      <c r="R200" s="2"/>
      <c r="S200" s="2"/>
      <c r="T200" s="2"/>
      <c r="U200" s="2"/>
      <c r="V200" s="2"/>
      <c r="W200" s="2"/>
      <c r="AB200" s="2"/>
      <c r="AC200" s="2"/>
      <c r="AD200" s="2"/>
      <c r="AE200" s="2"/>
      <c r="AF200" s="2"/>
      <c r="AG200" s="2"/>
      <c r="AH200" s="2"/>
      <c r="AI200" s="2"/>
      <c r="AJ200" s="2"/>
      <c r="AK200" s="2"/>
    </row>
    <row r="201" spans="2:37">
      <c r="B201" s="282" t="s">
        <v>15</v>
      </c>
      <c r="C201" s="282"/>
      <c r="D201" s="283">
        <f t="shared" si="43"/>
        <v>0</v>
      </c>
      <c r="E201" s="284">
        <f t="shared" si="36"/>
        <v>0</v>
      </c>
      <c r="F201" s="283">
        <f t="shared" si="37"/>
        <v>0</v>
      </c>
      <c r="G201" s="284">
        <f t="shared" si="38"/>
        <v>0</v>
      </c>
      <c r="H201" s="284">
        <f t="shared" si="39"/>
        <v>0</v>
      </c>
      <c r="I201" s="283">
        <f t="shared" si="40"/>
        <v>0</v>
      </c>
      <c r="J201" s="284">
        <f t="shared" si="41"/>
        <v>0</v>
      </c>
      <c r="K201" s="794">
        <f t="shared" si="42"/>
        <v>0</v>
      </c>
      <c r="L201" s="795"/>
      <c r="M201" s="2"/>
      <c r="N201" s="2"/>
      <c r="O201" s="2"/>
      <c r="P201" s="2"/>
      <c r="Q201" s="2"/>
      <c r="R201" s="2"/>
      <c r="S201" s="2"/>
      <c r="T201" s="2"/>
      <c r="U201" s="2"/>
      <c r="V201" s="2"/>
      <c r="W201" s="2"/>
      <c r="AB201" s="2"/>
      <c r="AC201" s="2"/>
      <c r="AD201" s="2"/>
      <c r="AE201" s="2"/>
      <c r="AF201" s="2"/>
      <c r="AG201" s="2"/>
      <c r="AH201" s="2"/>
      <c r="AI201" s="2"/>
      <c r="AJ201" s="2"/>
      <c r="AK201" s="2"/>
    </row>
    <row r="202" spans="2:37" ht="15" thickBot="1">
      <c r="B202" s="285" t="s">
        <v>17</v>
      </c>
      <c r="C202" s="285"/>
      <c r="D202" s="286">
        <f t="shared" si="43"/>
        <v>7174</v>
      </c>
      <c r="E202" s="286">
        <f>IF(OR(D$203=0,D202=0),0,IF(D202/D$203&lt;0.001,"&lt;1%",D202/D$203))</f>
        <v>0</v>
      </c>
      <c r="F202" s="286">
        <f t="shared" si="37"/>
        <v>219</v>
      </c>
      <c r="G202" s="286" t="str">
        <f>IF(OR(F$203=0,F202=0),0,IF(F202/F$203&lt;0.001,"&lt;1%",F202/F$203))</f>
        <v>&lt;1%</v>
      </c>
      <c r="H202" s="287">
        <f t="shared" si="39"/>
        <v>-0.97</v>
      </c>
      <c r="I202" s="286">
        <f t="shared" si="40"/>
        <v>0</v>
      </c>
      <c r="J202" s="287">
        <f>IF(OR(I$203=0,I202=0),0,IF(I202/I$203&lt;0.001,"&lt;1%",I202/I$203))</f>
        <v>0</v>
      </c>
      <c r="K202" s="798">
        <f t="shared" si="42"/>
        <v>-1</v>
      </c>
      <c r="L202" s="799"/>
      <c r="M202" s="2"/>
      <c r="N202" s="2"/>
      <c r="O202" s="2"/>
      <c r="P202" s="2"/>
      <c r="Q202" s="2"/>
      <c r="R202" s="2"/>
      <c r="S202" s="2"/>
      <c r="T202" s="2"/>
      <c r="U202" s="2"/>
      <c r="V202" s="2"/>
      <c r="W202" s="2"/>
      <c r="AB202" s="2"/>
      <c r="AC202" s="2"/>
      <c r="AD202" s="2"/>
      <c r="AE202" s="2"/>
      <c r="AF202" s="2"/>
      <c r="AG202" s="2"/>
      <c r="AH202" s="2"/>
      <c r="AI202" s="2"/>
      <c r="AJ202" s="2"/>
      <c r="AK202" s="2"/>
    </row>
    <row r="203" spans="2:37" ht="15" thickTop="1">
      <c r="B203" s="288" t="s">
        <v>23</v>
      </c>
      <c r="C203" s="289"/>
      <c r="D203" s="290">
        <f>SUM(D195:D202)</f>
        <v>1058053</v>
      </c>
      <c r="E203" s="291">
        <f>SUM(D195/D203,D196/D203,D197/D203,D198/D203,D199/D203,D200/D203,D201/D203,D202/D203)</f>
        <v>1</v>
      </c>
      <c r="F203" s="290">
        <f>SUM(F195:F202)</f>
        <v>1006912</v>
      </c>
      <c r="G203" s="291">
        <f>SUM(F195/F203,F196/F203,F197/F203,F198/F203,F199/F203,F200/F203,F201/F203,F202/F203)</f>
        <v>1</v>
      </c>
      <c r="H203" s="291">
        <f t="shared" si="39"/>
        <v>-0.05</v>
      </c>
      <c r="I203" s="290">
        <f>SUM(I195:I202)</f>
        <v>1286597</v>
      </c>
      <c r="J203" s="291">
        <f>SUM(I195/I203,I196/I203,I197/I203,I198/I203,I199/I203,I200/I203,I201/I203,I202/I203)</f>
        <v>1</v>
      </c>
      <c r="K203" s="800">
        <f t="shared" si="42"/>
        <v>0.28000000000000003</v>
      </c>
      <c r="L203" s="801"/>
      <c r="M203" s="2"/>
      <c r="N203" s="2"/>
      <c r="O203" s="2"/>
      <c r="P203" s="2"/>
      <c r="Q203" s="2"/>
      <c r="R203" s="2"/>
      <c r="S203" s="2"/>
      <c r="T203" s="2"/>
      <c r="U203" s="2"/>
      <c r="V203" s="2"/>
      <c r="W203" s="2"/>
      <c r="AB203" s="2"/>
      <c r="AC203" s="2"/>
      <c r="AD203" s="2"/>
      <c r="AE203" s="2"/>
      <c r="AF203" s="2"/>
      <c r="AG203" s="2"/>
      <c r="AH203" s="2"/>
      <c r="AI203" s="2"/>
      <c r="AJ203" s="2"/>
      <c r="AK203" s="2"/>
    </row>
    <row r="204" spans="2:37">
      <c r="B204" s="44" t="s">
        <v>19</v>
      </c>
      <c r="C204" s="44"/>
      <c r="D204" s="292">
        <f>D203/G1312</f>
        <v>14965</v>
      </c>
      <c r="E204" s="267"/>
      <c r="F204" s="292">
        <f>F203/I1312</f>
        <v>12205</v>
      </c>
      <c r="G204" s="267"/>
      <c r="H204" s="247">
        <f t="shared" si="39"/>
        <v>-0.18</v>
      </c>
      <c r="I204" s="245">
        <f>IF(K1312=0,0,(I203/K1312))</f>
        <v>18380</v>
      </c>
      <c r="J204" s="267"/>
      <c r="K204" s="776">
        <f t="shared" si="42"/>
        <v>0.51</v>
      </c>
      <c r="L204" s="777"/>
      <c r="M204" s="2"/>
      <c r="N204" s="2"/>
      <c r="O204" s="2"/>
      <c r="P204" s="2"/>
      <c r="Q204" s="2"/>
      <c r="R204" s="2"/>
      <c r="S204" s="2"/>
      <c r="T204" s="2"/>
      <c r="U204" s="2"/>
      <c r="V204" s="2"/>
      <c r="W204" s="2"/>
      <c r="X204" s="2"/>
      <c r="Y204" s="165"/>
      <c r="Z204" s="165"/>
      <c r="AA204" s="165"/>
      <c r="AB204" s="2"/>
      <c r="AC204" s="2"/>
      <c r="AD204" s="2"/>
      <c r="AE204" s="2"/>
      <c r="AF204" s="2"/>
      <c r="AG204" s="2"/>
      <c r="AH204" s="2"/>
      <c r="AI204" s="2"/>
      <c r="AJ204" s="2"/>
      <c r="AK204" s="2"/>
    </row>
    <row r="205" spans="2:37" ht="6.75" customHeight="1">
      <c r="B205" s="2"/>
      <c r="C205" s="2"/>
      <c r="D205" s="2"/>
      <c r="E205" s="2"/>
      <c r="F205" s="2"/>
      <c r="G205" s="2"/>
      <c r="H205" s="2"/>
      <c r="I205" s="2"/>
      <c r="J205" s="2"/>
      <c r="K205" s="2"/>
      <c r="L205" s="2"/>
      <c r="M205" s="2"/>
      <c r="N205" s="2"/>
      <c r="O205" s="2"/>
      <c r="P205" s="2"/>
      <c r="Q205" s="2"/>
      <c r="R205" s="2"/>
      <c r="S205" s="2"/>
      <c r="T205" s="2"/>
      <c r="U205" s="2"/>
      <c r="V205" s="2"/>
      <c r="W205" s="2"/>
      <c r="X205" s="2"/>
      <c r="Y205" s="165"/>
      <c r="Z205" s="165"/>
      <c r="AA205" s="165"/>
      <c r="AB205" s="2"/>
      <c r="AC205" s="2"/>
      <c r="AD205" s="2"/>
      <c r="AE205" s="2"/>
      <c r="AF205" s="2"/>
      <c r="AG205" s="2"/>
      <c r="AH205" s="2"/>
      <c r="AI205" s="2"/>
      <c r="AJ205" s="2"/>
      <c r="AK205" s="2"/>
    </row>
    <row r="206" spans="2:37" ht="31.5" customHeight="1">
      <c r="B206" s="651" t="s">
        <v>189</v>
      </c>
      <c r="C206" s="651"/>
      <c r="D206" s="651"/>
      <c r="E206" s="651"/>
      <c r="F206" s="651"/>
      <c r="G206" s="651"/>
      <c r="H206" s="651"/>
      <c r="I206" s="651"/>
      <c r="J206" s="651"/>
      <c r="K206" s="651"/>
      <c r="L206" s="651"/>
      <c r="M206" s="2"/>
      <c r="N206" s="2"/>
      <c r="O206" s="2"/>
      <c r="P206" s="2"/>
      <c r="Q206" s="2"/>
      <c r="R206" s="2"/>
      <c r="S206" s="2"/>
      <c r="T206" s="2"/>
      <c r="U206" s="2"/>
      <c r="V206" s="2"/>
      <c r="W206" s="2"/>
      <c r="X206" s="2"/>
      <c r="Y206" s="165"/>
      <c r="Z206" s="165"/>
      <c r="AA206" s="165"/>
      <c r="AB206" s="2"/>
      <c r="AC206" s="2"/>
      <c r="AD206" s="2"/>
      <c r="AE206" s="2"/>
      <c r="AF206" s="2"/>
      <c r="AG206" s="2"/>
      <c r="AH206" s="2"/>
      <c r="AI206" s="2"/>
      <c r="AJ206" s="2"/>
      <c r="AK206" s="2"/>
    </row>
    <row r="207" spans="2:37">
      <c r="B207" s="2"/>
      <c r="C207" s="2"/>
      <c r="D207" s="2"/>
      <c r="E207" s="2"/>
      <c r="F207" s="2"/>
      <c r="G207" s="2"/>
      <c r="H207" s="2"/>
      <c r="I207" s="2"/>
      <c r="J207" s="2"/>
      <c r="K207" s="2"/>
      <c r="L207" s="2"/>
      <c r="M207" s="2"/>
      <c r="N207" s="2"/>
      <c r="O207" s="2"/>
      <c r="P207" s="2"/>
      <c r="Q207" s="2"/>
      <c r="R207" s="2"/>
      <c r="S207" s="2"/>
      <c r="T207" s="2"/>
      <c r="U207" s="2"/>
      <c r="V207" s="2"/>
      <c r="W207" s="2"/>
      <c r="Z207" s="2"/>
      <c r="AA207" s="2"/>
      <c r="AB207" s="2"/>
      <c r="AC207" s="2"/>
      <c r="AD207" s="2"/>
      <c r="AE207" s="2"/>
      <c r="AF207" s="2"/>
      <c r="AG207" s="2"/>
      <c r="AH207" s="2"/>
      <c r="AI207" s="2"/>
      <c r="AJ207" s="2"/>
      <c r="AK207" s="2"/>
    </row>
    <row r="208" spans="2:37">
      <c r="B208" s="2"/>
      <c r="C208" s="2"/>
      <c r="D208" s="2"/>
      <c r="E208" s="2"/>
      <c r="F208" s="2"/>
      <c r="G208" s="2"/>
      <c r="H208" s="2"/>
      <c r="I208" s="2"/>
      <c r="J208" s="2"/>
      <c r="K208" s="2"/>
      <c r="L208" s="2"/>
      <c r="M208" s="2"/>
      <c r="N208" s="2"/>
      <c r="O208" s="2"/>
      <c r="P208" s="2"/>
      <c r="Q208" s="2"/>
      <c r="R208" s="2"/>
      <c r="S208" s="2"/>
      <c r="T208" s="2"/>
      <c r="U208" s="2"/>
      <c r="V208" s="2"/>
      <c r="W208" s="2"/>
      <c r="Z208" s="2"/>
      <c r="AA208" s="2"/>
      <c r="AB208" s="2"/>
      <c r="AC208" s="2"/>
      <c r="AD208" s="2"/>
      <c r="AE208" s="2"/>
      <c r="AF208" s="2"/>
      <c r="AG208" s="2"/>
      <c r="AH208" s="2"/>
      <c r="AI208" s="2"/>
      <c r="AJ208" s="2"/>
      <c r="AK208" s="2"/>
    </row>
    <row r="209" spans="2:37">
      <c r="B209" s="2"/>
      <c r="C209" s="2"/>
      <c r="D209" s="2"/>
      <c r="E209" s="2"/>
      <c r="F209" s="2"/>
      <c r="G209" s="2"/>
      <c r="H209" s="2"/>
      <c r="I209" s="2"/>
      <c r="J209" s="2"/>
      <c r="K209" s="2"/>
      <c r="L209" s="2"/>
      <c r="M209" s="2"/>
      <c r="N209" s="2"/>
      <c r="O209" s="2"/>
      <c r="P209" s="2"/>
      <c r="Q209" s="2"/>
      <c r="R209" s="2"/>
      <c r="S209" s="2"/>
      <c r="T209" s="2"/>
      <c r="U209" s="2"/>
      <c r="V209" s="2"/>
      <c r="W209" s="2"/>
      <c r="Z209" s="2"/>
      <c r="AA209" s="2"/>
      <c r="AB209" s="2"/>
      <c r="AC209" s="2"/>
      <c r="AD209" s="2"/>
      <c r="AE209" s="2"/>
      <c r="AF209" s="2"/>
      <c r="AG209" s="2"/>
      <c r="AH209" s="2"/>
      <c r="AI209" s="2"/>
      <c r="AJ209" s="2"/>
      <c r="AK209" s="2"/>
    </row>
    <row r="210" spans="2:37">
      <c r="B210" s="2"/>
      <c r="C210" s="2"/>
      <c r="D210" s="2"/>
      <c r="E210" s="2"/>
      <c r="F210" s="2"/>
      <c r="G210" s="2"/>
      <c r="H210" s="2"/>
      <c r="I210" s="2"/>
      <c r="J210" s="2"/>
      <c r="K210" s="2"/>
      <c r="L210" s="2"/>
      <c r="M210" s="2"/>
      <c r="N210" s="2"/>
      <c r="O210" s="2"/>
      <c r="P210" s="2"/>
      <c r="Q210" s="2"/>
      <c r="R210" s="2"/>
      <c r="S210" s="2"/>
      <c r="T210" s="2"/>
      <c r="U210" s="2"/>
      <c r="V210" s="2"/>
      <c r="W210" s="2"/>
      <c r="Z210" s="2"/>
      <c r="AA210" s="2"/>
      <c r="AB210" s="2"/>
      <c r="AC210" s="2"/>
      <c r="AD210" s="2"/>
      <c r="AE210" s="2"/>
      <c r="AF210" s="2"/>
      <c r="AG210" s="2"/>
      <c r="AH210" s="2"/>
      <c r="AI210" s="2"/>
      <c r="AJ210" s="2"/>
      <c r="AK210" s="2"/>
    </row>
    <row r="211" spans="2:37">
      <c r="B211" s="2"/>
      <c r="C211" s="2"/>
      <c r="D211" s="2"/>
      <c r="E211" s="2"/>
      <c r="F211" s="2"/>
      <c r="G211" s="2"/>
      <c r="H211" s="2"/>
      <c r="I211" s="2"/>
      <c r="J211" s="2"/>
      <c r="K211" s="2"/>
      <c r="L211" s="2"/>
      <c r="M211" s="2"/>
      <c r="N211" s="2"/>
      <c r="O211" s="2"/>
      <c r="P211" s="2"/>
      <c r="Q211" s="2"/>
      <c r="R211" s="2"/>
      <c r="S211" s="2"/>
      <c r="T211" s="2"/>
      <c r="U211" s="2"/>
      <c r="V211" s="2"/>
      <c r="W211" s="2"/>
      <c r="Z211" s="2"/>
      <c r="AA211" s="2"/>
      <c r="AB211" s="2"/>
      <c r="AC211" s="2"/>
      <c r="AD211" s="2"/>
      <c r="AE211" s="2"/>
      <c r="AF211" s="2"/>
      <c r="AG211" s="2"/>
      <c r="AH211" s="2"/>
      <c r="AI211" s="2"/>
      <c r="AJ211" s="2"/>
      <c r="AK211" s="2"/>
    </row>
    <row r="212" spans="2:37">
      <c r="B212" s="2"/>
      <c r="C212" s="2"/>
      <c r="D212" s="2"/>
      <c r="E212" s="2"/>
      <c r="F212" s="2"/>
      <c r="G212" s="2"/>
      <c r="H212" s="2"/>
      <c r="I212" s="2"/>
      <c r="J212" s="2"/>
      <c r="K212" s="2"/>
      <c r="L212" s="2"/>
      <c r="M212" s="2"/>
      <c r="N212" s="2"/>
      <c r="O212" s="2" t="s">
        <v>28</v>
      </c>
      <c r="P212" s="2"/>
      <c r="Q212" s="2"/>
      <c r="R212" s="2"/>
      <c r="S212" s="2"/>
      <c r="T212" s="2"/>
      <c r="U212" s="2"/>
      <c r="V212" s="2"/>
      <c r="W212" s="2"/>
      <c r="Z212" s="2"/>
      <c r="AA212" s="2"/>
      <c r="AB212" s="2"/>
      <c r="AC212" s="2"/>
      <c r="AD212" s="2"/>
      <c r="AE212" s="2"/>
      <c r="AF212" s="2"/>
      <c r="AG212" s="2"/>
      <c r="AH212" s="2"/>
      <c r="AI212" s="2"/>
      <c r="AJ212" s="2"/>
      <c r="AK212" s="2"/>
    </row>
    <row r="213" spans="2:37">
      <c r="B213" s="2"/>
      <c r="C213" s="2"/>
      <c r="D213" s="2"/>
      <c r="E213" s="2"/>
      <c r="F213" s="2"/>
      <c r="G213" s="2"/>
      <c r="H213" s="2"/>
      <c r="I213" s="2"/>
      <c r="J213" s="2"/>
      <c r="K213" s="2"/>
      <c r="L213" s="2"/>
      <c r="M213" s="2"/>
      <c r="N213" s="2"/>
      <c r="O213" s="2"/>
      <c r="P213" s="82" t="str">
        <f>D4</f>
        <v>2023-2024</v>
      </c>
      <c r="Q213" s="82" t="str">
        <f>F4</f>
        <v>2024-2025</v>
      </c>
      <c r="R213" s="82" t="str">
        <f>I4</f>
        <v>2025-2026</v>
      </c>
      <c r="S213" s="2"/>
      <c r="T213" s="2"/>
      <c r="U213" s="2"/>
      <c r="V213" s="2"/>
      <c r="W213" s="2"/>
      <c r="Z213" s="2"/>
      <c r="AA213" s="2"/>
      <c r="AB213" s="2"/>
      <c r="AC213" s="2"/>
      <c r="AD213" s="2"/>
      <c r="AE213" s="2"/>
      <c r="AF213" s="2"/>
      <c r="AG213" s="2"/>
      <c r="AH213" s="2"/>
      <c r="AI213" s="2"/>
      <c r="AJ213" s="2"/>
      <c r="AK213" s="2"/>
    </row>
    <row r="214" spans="2:37">
      <c r="B214" s="2"/>
      <c r="C214" s="2"/>
      <c r="D214" s="2"/>
      <c r="E214" s="2"/>
      <c r="F214" s="2"/>
      <c r="G214" s="2"/>
      <c r="H214" s="2"/>
      <c r="I214" s="2"/>
      <c r="J214" s="2"/>
      <c r="K214" s="2"/>
      <c r="L214" s="2"/>
      <c r="M214" s="2"/>
      <c r="N214" s="2"/>
      <c r="O214" s="140" t="str">
        <f t="shared" ref="O214:O221" si="44">IF(AND($D195&lt;=0,$F195&lt;=0,$I195&lt;=0),"",$B195)</f>
        <v>Instruction</v>
      </c>
      <c r="P214" s="207">
        <f t="shared" ref="P214:P221" si="45">IF(AND($D195&lt;=0,$F195&lt;=0,$I195&lt;=0),#N/A,IF($D195&lt;=0,0,$D195))</f>
        <v>516640</v>
      </c>
      <c r="Q214" s="207">
        <f t="shared" ref="Q214:Q221" si="46">IF(AND($D195&lt;=0,$F195&lt;=0,$I195&lt;=0),#N/A,IF($F195&lt;=0,0,$F195))</f>
        <v>509814</v>
      </c>
      <c r="R214" s="207">
        <f t="shared" ref="R214:R221" si="47">IF(AND($D195&lt;=0,$F195&lt;=0,$I195&lt;=0),#N/A,IF($I195&lt;=0,0,$I195))</f>
        <v>588606</v>
      </c>
      <c r="S214" s="2"/>
      <c r="T214" s="2"/>
      <c r="U214" s="2"/>
      <c r="V214" s="2"/>
      <c r="W214" s="2"/>
      <c r="Z214" s="2"/>
      <c r="AA214" s="2"/>
      <c r="AB214" s="2"/>
      <c r="AC214" s="2"/>
      <c r="AD214" s="2"/>
      <c r="AE214" s="2"/>
      <c r="AF214" s="2"/>
      <c r="AG214" s="2"/>
      <c r="AH214" s="2"/>
      <c r="AI214" s="2"/>
      <c r="AJ214" s="2"/>
      <c r="AK214" s="2"/>
    </row>
    <row r="215" spans="2:37">
      <c r="B215" s="2"/>
      <c r="C215" s="2"/>
      <c r="D215" s="2"/>
      <c r="E215" s="2"/>
      <c r="F215" s="2"/>
      <c r="G215" s="2"/>
      <c r="H215" s="2"/>
      <c r="I215" s="2"/>
      <c r="J215" s="2"/>
      <c r="K215" s="2"/>
      <c r="L215" s="2"/>
      <c r="M215" s="2"/>
      <c r="N215" s="2"/>
      <c r="O215" s="140" t="str">
        <f t="shared" si="44"/>
        <v>Student Support</v>
      </c>
      <c r="P215" s="207">
        <f t="shared" si="45"/>
        <v>2063</v>
      </c>
      <c r="Q215" s="207">
        <f t="shared" si="46"/>
        <v>267</v>
      </c>
      <c r="R215" s="207">
        <f t="shared" si="47"/>
        <v>0</v>
      </c>
      <c r="S215" s="2"/>
      <c r="T215" s="2"/>
      <c r="U215" s="2"/>
      <c r="V215" s="2"/>
      <c r="W215" s="2"/>
      <c r="X215" s="2"/>
      <c r="Y215" s="165"/>
      <c r="Z215" s="2"/>
      <c r="AA215" s="2"/>
      <c r="AB215" s="2"/>
      <c r="AC215" s="2"/>
      <c r="AD215" s="2"/>
      <c r="AE215" s="2"/>
      <c r="AF215" s="2"/>
      <c r="AG215" s="2"/>
      <c r="AH215" s="2"/>
      <c r="AI215" s="2"/>
      <c r="AJ215" s="2"/>
      <c r="AK215" s="2"/>
    </row>
    <row r="216" spans="2:37">
      <c r="B216" s="2"/>
      <c r="C216" s="2"/>
      <c r="D216" s="2"/>
      <c r="E216" s="2"/>
      <c r="F216" s="2"/>
      <c r="G216" s="2"/>
      <c r="H216" s="2"/>
      <c r="I216" s="2"/>
      <c r="J216" s="2"/>
      <c r="K216" s="2"/>
      <c r="L216" s="2"/>
      <c r="M216" s="2"/>
      <c r="N216" s="2"/>
      <c r="O216" s="140" t="str">
        <f t="shared" si="44"/>
        <v>Instructional Support</v>
      </c>
      <c r="P216" s="207">
        <f t="shared" si="45"/>
        <v>0</v>
      </c>
      <c r="Q216" s="207">
        <f t="shared" si="46"/>
        <v>195</v>
      </c>
      <c r="R216" s="207">
        <f t="shared" si="47"/>
        <v>100</v>
      </c>
      <c r="S216" s="2"/>
      <c r="T216" s="2"/>
      <c r="U216" s="2"/>
      <c r="V216" s="2"/>
      <c r="W216" s="2"/>
      <c r="X216" s="2"/>
      <c r="Y216" s="165"/>
      <c r="Z216" s="2"/>
      <c r="AA216" s="2"/>
      <c r="AB216" s="2"/>
      <c r="AC216" s="2"/>
      <c r="AD216" s="2"/>
      <c r="AE216" s="2"/>
      <c r="AF216" s="2"/>
      <c r="AG216" s="2"/>
      <c r="AH216" s="2"/>
      <c r="AI216" s="2"/>
      <c r="AJ216" s="2"/>
      <c r="AK216" s="2"/>
    </row>
    <row r="217" spans="2:37">
      <c r="B217" s="2"/>
      <c r="C217" s="2"/>
      <c r="D217" s="2"/>
      <c r="E217" s="2"/>
      <c r="F217" s="2"/>
      <c r="G217" s="2"/>
      <c r="H217" s="2"/>
      <c r="I217" s="2"/>
      <c r="J217" s="2"/>
      <c r="K217" s="2"/>
      <c r="L217" s="2"/>
      <c r="M217" s="2"/>
      <c r="N217" s="2"/>
      <c r="O217" s="140" t="str">
        <f t="shared" si="44"/>
        <v>Administration &amp; Support</v>
      </c>
      <c r="P217" s="207">
        <f t="shared" si="45"/>
        <v>230019</v>
      </c>
      <c r="Q217" s="207">
        <f t="shared" si="46"/>
        <v>241259</v>
      </c>
      <c r="R217" s="207">
        <f t="shared" si="47"/>
        <v>249850</v>
      </c>
      <c r="S217" s="2"/>
      <c r="T217" s="2"/>
      <c r="U217" s="2"/>
      <c r="V217" s="2"/>
      <c r="W217" s="2"/>
      <c r="X217" s="2"/>
      <c r="Y217" s="2"/>
      <c r="Z217" s="2"/>
      <c r="AA217" s="2"/>
      <c r="AB217" s="2"/>
      <c r="AC217" s="2"/>
      <c r="AD217" s="2"/>
      <c r="AE217" s="2"/>
      <c r="AF217" s="2"/>
      <c r="AG217" s="2"/>
      <c r="AH217" s="2"/>
      <c r="AI217" s="2"/>
      <c r="AJ217" s="2"/>
      <c r="AK217" s="2"/>
    </row>
    <row r="218" spans="2:37">
      <c r="B218" s="2"/>
      <c r="C218" s="2"/>
      <c r="D218" s="2"/>
      <c r="E218" s="2"/>
      <c r="F218" s="2"/>
      <c r="G218" s="2"/>
      <c r="H218" s="2"/>
      <c r="I218" s="2"/>
      <c r="J218" s="2"/>
      <c r="K218" s="2"/>
      <c r="L218" s="2"/>
      <c r="M218" s="2"/>
      <c r="N218" s="2"/>
      <c r="O218" s="140" t="str">
        <f t="shared" si="44"/>
        <v>Operations &amp; Maintenance</v>
      </c>
      <c r="P218" s="207">
        <f t="shared" si="45"/>
        <v>249852</v>
      </c>
      <c r="Q218" s="207">
        <f t="shared" si="46"/>
        <v>199155</v>
      </c>
      <c r="R218" s="207">
        <f t="shared" si="47"/>
        <v>378442</v>
      </c>
      <c r="S218" s="2"/>
      <c r="T218" s="2"/>
      <c r="U218" s="2"/>
      <c r="V218" s="2"/>
      <c r="W218" s="2"/>
      <c r="X218" s="2"/>
      <c r="Y218" s="2"/>
      <c r="Z218" s="2"/>
      <c r="AA218" s="2"/>
      <c r="AB218" s="2"/>
      <c r="AC218" s="2"/>
      <c r="AD218" s="2"/>
      <c r="AE218" s="2"/>
      <c r="AF218" s="2"/>
      <c r="AG218" s="2"/>
      <c r="AH218" s="2"/>
      <c r="AI218" s="2"/>
      <c r="AJ218" s="2"/>
      <c r="AK218" s="2"/>
    </row>
    <row r="219" spans="2:37">
      <c r="B219" s="2"/>
      <c r="C219" s="2"/>
      <c r="D219" s="2"/>
      <c r="E219" s="2"/>
      <c r="F219" s="2"/>
      <c r="G219" s="2"/>
      <c r="H219" s="2"/>
      <c r="I219" s="2"/>
      <c r="J219" s="2"/>
      <c r="K219" s="2"/>
      <c r="L219" s="2"/>
      <c r="M219" s="2"/>
      <c r="N219" s="2"/>
      <c r="O219" s="140" t="str">
        <f t="shared" si="44"/>
        <v>Transportation</v>
      </c>
      <c r="P219" s="207">
        <f t="shared" si="45"/>
        <v>52305</v>
      </c>
      <c r="Q219" s="207">
        <f t="shared" si="46"/>
        <v>56003</v>
      </c>
      <c r="R219" s="207">
        <f t="shared" si="47"/>
        <v>69599</v>
      </c>
      <c r="S219" s="2"/>
      <c r="T219" s="2"/>
      <c r="U219" s="2"/>
      <c r="V219" s="2"/>
      <c r="W219" s="2"/>
      <c r="X219" s="2"/>
      <c r="Y219" s="2"/>
      <c r="Z219" s="2"/>
      <c r="AA219" s="2"/>
      <c r="AB219" s="2"/>
      <c r="AC219" s="2"/>
      <c r="AD219" s="2"/>
      <c r="AE219" s="2"/>
      <c r="AF219" s="2"/>
      <c r="AG219" s="2"/>
      <c r="AH219" s="2"/>
      <c r="AI219" s="2"/>
      <c r="AJ219" s="2"/>
      <c r="AK219" s="2"/>
    </row>
    <row r="220" spans="2:37">
      <c r="B220" s="2"/>
      <c r="C220" s="2"/>
      <c r="D220" s="2"/>
      <c r="E220" s="2"/>
      <c r="F220" s="2"/>
      <c r="G220" s="2"/>
      <c r="H220" s="2"/>
      <c r="I220" s="2"/>
      <c r="J220" s="2"/>
      <c r="K220" s="2"/>
      <c r="L220" s="2"/>
      <c r="M220" s="2"/>
      <c r="N220" s="2"/>
      <c r="O220" s="140" t="str">
        <f t="shared" si="44"/>
        <v/>
      </c>
      <c r="P220" s="207" t="e">
        <f t="shared" si="45"/>
        <v>#N/A</v>
      </c>
      <c r="Q220" s="207" t="e">
        <f t="shared" si="46"/>
        <v>#N/A</v>
      </c>
      <c r="R220" s="207" t="e">
        <f t="shared" si="47"/>
        <v>#N/A</v>
      </c>
      <c r="S220" s="2"/>
      <c r="T220" s="2"/>
      <c r="U220" s="2"/>
      <c r="V220" s="2"/>
      <c r="W220" s="2"/>
      <c r="X220" s="2"/>
      <c r="Y220" s="2"/>
      <c r="Z220" s="2"/>
      <c r="AA220" s="2"/>
      <c r="AB220" s="2"/>
      <c r="AC220" s="2"/>
      <c r="AD220" s="2"/>
      <c r="AE220" s="2"/>
      <c r="AF220" s="2"/>
      <c r="AG220" s="2"/>
      <c r="AH220" s="2"/>
      <c r="AI220" s="2"/>
      <c r="AJ220" s="2"/>
      <c r="AK220" s="2"/>
    </row>
    <row r="221" spans="2:37">
      <c r="B221" s="2"/>
      <c r="C221" s="2"/>
      <c r="D221" s="2"/>
      <c r="E221" s="2"/>
      <c r="F221" s="2"/>
      <c r="G221" s="2"/>
      <c r="H221" s="2"/>
      <c r="I221" s="2"/>
      <c r="J221" s="2"/>
      <c r="K221" s="2"/>
      <c r="L221" s="2"/>
      <c r="M221" s="2"/>
      <c r="N221" s="2"/>
      <c r="O221" s="140" t="str">
        <f t="shared" si="44"/>
        <v>Other Costs</v>
      </c>
      <c r="P221" s="207">
        <f t="shared" si="45"/>
        <v>7174</v>
      </c>
      <c r="Q221" s="207">
        <f t="shared" si="46"/>
        <v>219</v>
      </c>
      <c r="R221" s="207">
        <f t="shared" si="47"/>
        <v>0</v>
      </c>
      <c r="S221" s="2"/>
      <c r="T221" s="2"/>
      <c r="U221" s="2"/>
      <c r="V221" s="2"/>
      <c r="W221" s="2"/>
      <c r="X221" s="2"/>
      <c r="Y221" s="2"/>
      <c r="Z221" s="2"/>
      <c r="AA221" s="2"/>
      <c r="AB221" s="2"/>
      <c r="AC221" s="2"/>
      <c r="AD221" s="2"/>
      <c r="AE221" s="2"/>
      <c r="AF221" s="2"/>
      <c r="AG221" s="2"/>
      <c r="AH221" s="2"/>
      <c r="AI221" s="2"/>
      <c r="AJ221" s="2"/>
      <c r="AK221" s="2"/>
    </row>
    <row r="222" spans="2:37">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2"/>
      <c r="AB222" s="2"/>
      <c r="AC222" s="2"/>
      <c r="AD222" s="2"/>
      <c r="AE222" s="2"/>
      <c r="AF222" s="2"/>
      <c r="AG222" s="2"/>
      <c r="AH222" s="2"/>
      <c r="AI222" s="2"/>
      <c r="AJ222" s="2"/>
      <c r="AK222" s="2"/>
    </row>
    <row r="223" spans="2:37">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c r="AB223" s="2"/>
      <c r="AC223" s="2"/>
      <c r="AD223" s="2"/>
      <c r="AE223" s="2"/>
      <c r="AF223" s="2"/>
      <c r="AG223" s="2"/>
      <c r="AH223" s="2"/>
      <c r="AI223" s="2"/>
      <c r="AJ223" s="2"/>
      <c r="AK223" s="2"/>
    </row>
    <row r="224" spans="2:37">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2"/>
      <c r="AB224" s="2"/>
      <c r="AC224" s="2"/>
      <c r="AD224" s="2"/>
      <c r="AE224" s="2"/>
      <c r="AF224" s="2"/>
      <c r="AG224" s="2"/>
      <c r="AH224" s="2"/>
      <c r="AI224" s="2"/>
      <c r="AJ224" s="2"/>
      <c r="AK224" s="2"/>
    </row>
    <row r="225" spans="2:37">
      <c r="B225" s="2"/>
      <c r="C225" s="2"/>
      <c r="D225" s="2"/>
      <c r="E225" s="2"/>
      <c r="F225" s="2"/>
      <c r="G225" s="2"/>
      <c r="H225" s="2"/>
      <c r="I225" s="2"/>
      <c r="J225" s="2"/>
      <c r="K225" s="2"/>
      <c r="L225" s="2"/>
      <c r="M225" s="2"/>
      <c r="N225" s="2"/>
      <c r="O225" s="2"/>
      <c r="P225" s="2"/>
      <c r="Q225" s="2"/>
      <c r="R225" s="2"/>
      <c r="S225" s="2"/>
      <c r="T225" s="2"/>
      <c r="U225" s="2"/>
      <c r="V225" s="2"/>
      <c r="W225" s="2"/>
      <c r="X225" s="2"/>
      <c r="Y225" s="2"/>
      <c r="Z225" s="2"/>
      <c r="AA225" s="2"/>
      <c r="AB225" s="2"/>
      <c r="AC225" s="2"/>
      <c r="AD225" s="2"/>
      <c r="AE225" s="2"/>
      <c r="AF225" s="2"/>
      <c r="AG225" s="2"/>
      <c r="AH225" s="2"/>
      <c r="AI225" s="2"/>
      <c r="AJ225" s="2"/>
      <c r="AK225" s="2"/>
    </row>
    <row r="226" spans="2:37">
      <c r="B226" s="2"/>
      <c r="C226" s="2"/>
      <c r="D226" s="2"/>
      <c r="E226" s="2"/>
      <c r="F226" s="2"/>
      <c r="G226" s="2"/>
      <c r="H226" s="2"/>
      <c r="I226" s="2"/>
      <c r="J226" s="2"/>
      <c r="K226" s="2"/>
      <c r="L226" s="2"/>
      <c r="M226" s="2"/>
      <c r="N226" s="2"/>
      <c r="O226" s="2"/>
      <c r="P226" s="2"/>
      <c r="Q226" s="2"/>
      <c r="R226" s="2"/>
      <c r="S226" s="2"/>
      <c r="T226" s="2"/>
      <c r="U226" s="2"/>
      <c r="V226" s="2"/>
      <c r="W226" s="2"/>
      <c r="X226" s="2"/>
      <c r="Y226" s="2"/>
      <c r="Z226" s="2"/>
      <c r="AA226" s="2"/>
      <c r="AB226" s="2"/>
      <c r="AC226" s="2"/>
      <c r="AD226" s="2"/>
      <c r="AE226" s="2"/>
      <c r="AF226" s="2"/>
      <c r="AG226" s="2"/>
      <c r="AH226" s="2"/>
      <c r="AI226" s="2"/>
      <c r="AJ226" s="2"/>
      <c r="AK226" s="2"/>
    </row>
    <row r="227" spans="2:37">
      <c r="B227" s="2"/>
      <c r="C227" s="2"/>
      <c r="D227" s="2"/>
      <c r="E227" s="2"/>
      <c r="F227" s="2"/>
      <c r="G227" s="2"/>
      <c r="H227" s="2"/>
      <c r="I227" s="2"/>
      <c r="J227" s="2"/>
      <c r="K227" s="2"/>
      <c r="L227" s="2"/>
      <c r="M227" s="2"/>
      <c r="N227" s="2"/>
      <c r="O227" s="2"/>
      <c r="P227" s="2"/>
      <c r="Q227" s="2"/>
      <c r="R227" s="2"/>
      <c r="S227" s="2"/>
      <c r="T227" s="2"/>
      <c r="U227" s="2"/>
      <c r="V227" s="2"/>
      <c r="W227" s="2"/>
      <c r="X227" s="2"/>
      <c r="Y227" s="2"/>
      <c r="Z227" s="2"/>
      <c r="AA227" s="2"/>
      <c r="AB227" s="2"/>
      <c r="AC227" s="2"/>
      <c r="AD227" s="2"/>
      <c r="AE227" s="2"/>
      <c r="AF227" s="2"/>
      <c r="AG227" s="2"/>
      <c r="AH227" s="2"/>
      <c r="AI227" s="2"/>
      <c r="AJ227" s="2"/>
      <c r="AK227" s="2"/>
    </row>
    <row r="228" spans="2:37">
      <c r="B228" s="2"/>
      <c r="C228" s="2"/>
      <c r="D228" s="2"/>
      <c r="E228" s="2"/>
      <c r="F228" s="2"/>
      <c r="G228" s="2"/>
      <c r="H228" s="2"/>
      <c r="I228" s="2"/>
      <c r="J228" s="2"/>
      <c r="K228" s="2"/>
      <c r="L228" s="2"/>
      <c r="M228" s="2"/>
      <c r="N228" s="2"/>
      <c r="O228" s="2"/>
      <c r="P228" s="2"/>
      <c r="Q228" s="2"/>
      <c r="R228" s="2"/>
      <c r="S228" s="2"/>
      <c r="T228" s="2"/>
      <c r="U228" s="2"/>
      <c r="V228" s="2"/>
      <c r="W228" s="2"/>
      <c r="X228" s="2"/>
      <c r="Y228" s="2"/>
      <c r="Z228" s="2"/>
      <c r="AA228" s="2"/>
      <c r="AB228" s="2"/>
      <c r="AC228" s="2"/>
      <c r="AD228" s="2"/>
      <c r="AE228" s="2"/>
      <c r="AF228" s="2"/>
      <c r="AG228" s="2"/>
      <c r="AH228" s="2"/>
      <c r="AI228" s="2"/>
      <c r="AJ228" s="2"/>
      <c r="AK228" s="2"/>
    </row>
    <row r="229" spans="2:37">
      <c r="B229" s="2"/>
      <c r="C229" s="2"/>
      <c r="D229" s="2"/>
      <c r="E229" s="2"/>
      <c r="F229" s="2"/>
      <c r="G229" s="2"/>
      <c r="H229" s="2"/>
      <c r="I229" s="2"/>
      <c r="J229" s="2"/>
      <c r="K229" s="2"/>
      <c r="L229" s="2"/>
      <c r="M229" s="2"/>
      <c r="N229" s="2"/>
      <c r="O229" s="2"/>
      <c r="P229" s="2"/>
      <c r="Q229" s="2"/>
      <c r="R229" s="2"/>
      <c r="S229" s="2"/>
      <c r="T229" s="2"/>
      <c r="U229" s="2"/>
      <c r="V229" s="2"/>
      <c r="W229" s="2"/>
      <c r="X229" s="2"/>
      <c r="Y229" s="2"/>
      <c r="Z229" s="2"/>
      <c r="AA229" s="2"/>
      <c r="AB229" s="2"/>
      <c r="AC229" s="2"/>
      <c r="AD229" s="2"/>
      <c r="AE229" s="2"/>
      <c r="AF229" s="2"/>
      <c r="AG229" s="2"/>
      <c r="AH229" s="2"/>
      <c r="AI229" s="2"/>
      <c r="AJ229" s="2"/>
      <c r="AK229" s="2"/>
    </row>
    <row r="230" spans="2:37">
      <c r="B230" s="2"/>
      <c r="C230" s="2"/>
      <c r="D230" s="2"/>
      <c r="E230" s="2"/>
      <c r="F230" s="2"/>
      <c r="G230" s="2"/>
      <c r="H230" s="2"/>
      <c r="I230" s="2"/>
      <c r="J230" s="2"/>
      <c r="K230" s="2"/>
      <c r="L230" s="2"/>
      <c r="M230" s="2"/>
      <c r="N230" s="2"/>
      <c r="O230" s="2"/>
      <c r="P230" s="2"/>
      <c r="Q230" s="2"/>
      <c r="R230" s="2"/>
      <c r="S230" s="2"/>
      <c r="T230" s="2"/>
      <c r="U230" s="2"/>
      <c r="V230" s="2"/>
      <c r="W230" s="2"/>
      <c r="X230" s="2"/>
      <c r="Y230" s="2"/>
      <c r="Z230" s="2"/>
      <c r="AA230" s="2"/>
      <c r="AB230" s="2"/>
      <c r="AC230" s="2"/>
      <c r="AD230" s="2"/>
      <c r="AE230" s="2"/>
      <c r="AF230" s="2"/>
      <c r="AG230" s="2"/>
      <c r="AH230" s="2"/>
      <c r="AI230" s="2"/>
      <c r="AJ230" s="2"/>
      <c r="AK230" s="2"/>
    </row>
    <row r="231" spans="2:37">
      <c r="B231" s="2"/>
      <c r="C231" s="2"/>
      <c r="D231" s="2"/>
      <c r="E231" s="2"/>
      <c r="F231" s="2"/>
      <c r="G231" s="2"/>
      <c r="H231" s="2"/>
      <c r="I231" s="2"/>
      <c r="J231" s="2"/>
      <c r="K231" s="2"/>
      <c r="L231" s="2"/>
      <c r="M231" s="2"/>
      <c r="N231" s="2"/>
      <c r="O231" s="293" t="s">
        <v>29</v>
      </c>
      <c r="P231" s="294" t="str">
        <f>I4</f>
        <v>2025-2026</v>
      </c>
      <c r="Q231" s="2"/>
      <c r="R231" s="2"/>
      <c r="S231" s="2"/>
      <c r="T231" s="2"/>
      <c r="U231" s="2"/>
      <c r="V231" s="2"/>
      <c r="W231" s="2"/>
      <c r="X231" s="2"/>
      <c r="Y231" s="2"/>
      <c r="Z231" s="2"/>
      <c r="AA231" s="2"/>
      <c r="AB231" s="2"/>
      <c r="AC231" s="2"/>
      <c r="AD231" s="2"/>
      <c r="AE231" s="2"/>
      <c r="AF231" s="2"/>
      <c r="AG231" s="2"/>
      <c r="AH231" s="2"/>
      <c r="AI231" s="2"/>
      <c r="AJ231" s="2"/>
      <c r="AK231" s="2"/>
    </row>
    <row r="232" spans="2:37">
      <c r="B232" s="2"/>
      <c r="C232" s="2"/>
      <c r="D232" s="2"/>
      <c r="E232" s="2"/>
      <c r="F232" s="2"/>
      <c r="G232" s="2"/>
      <c r="H232" s="2"/>
      <c r="I232" s="2"/>
      <c r="J232" s="2"/>
      <c r="K232" s="2"/>
      <c r="L232" s="2"/>
      <c r="M232" s="2"/>
      <c r="N232" s="2"/>
      <c r="O232" s="140" t="str">
        <f t="shared" ref="O232:O238" si="48">$B195&amp;": "&amp;IFERROR(IF(I195/$I$203&gt;=0.01,P232*100,IF(AND(I195/$I$203&lt;0.01,I195/$I$203&gt;0),LEFT(J195,2),0)),0)&amp;"%"</f>
        <v>Instruction: 46%</v>
      </c>
      <c r="P232" s="210">
        <f t="shared" ref="P232:P238" si="49">IF(I195/$I$203&lt;0.01,#N/A,$J195)</f>
        <v>0.46</v>
      </c>
      <c r="Q232" s="140" t="str">
        <f t="shared" ref="Q232:Q238" si="50">LEFT(O232,(FIND(":",O232)-1))</f>
        <v>Instruction</v>
      </c>
      <c r="R232" s="2"/>
      <c r="S232" s="2"/>
      <c r="T232" s="2"/>
      <c r="U232" s="2"/>
      <c r="V232" s="2"/>
      <c r="W232" s="2"/>
      <c r="X232" s="2"/>
      <c r="Y232" s="2"/>
      <c r="Z232" s="2"/>
      <c r="AA232" s="2"/>
      <c r="AB232" s="2"/>
      <c r="AC232" s="2"/>
      <c r="AD232" s="2"/>
      <c r="AE232" s="2"/>
      <c r="AF232" s="2"/>
      <c r="AG232" s="2"/>
      <c r="AH232" s="2"/>
      <c r="AI232" s="2"/>
      <c r="AJ232" s="2"/>
      <c r="AK232" s="2"/>
    </row>
    <row r="233" spans="2:37">
      <c r="B233" s="2"/>
      <c r="C233" s="2"/>
      <c r="D233" s="2"/>
      <c r="E233" s="2"/>
      <c r="F233" s="2"/>
      <c r="G233" s="2"/>
      <c r="H233" s="2"/>
      <c r="I233" s="2"/>
      <c r="J233" s="2"/>
      <c r="K233" s="2"/>
      <c r="L233" s="2"/>
      <c r="M233" s="2"/>
      <c r="N233" s="2"/>
      <c r="O233" s="140" t="str">
        <f t="shared" si="48"/>
        <v>Student Support: 0%</v>
      </c>
      <c r="P233" s="210" t="e">
        <f t="shared" si="49"/>
        <v>#N/A</v>
      </c>
      <c r="Q233" s="140" t="str">
        <f t="shared" si="50"/>
        <v>Student Support</v>
      </c>
      <c r="R233" s="2"/>
      <c r="S233" s="2"/>
      <c r="T233" s="2"/>
      <c r="U233" s="2"/>
      <c r="V233" s="2"/>
      <c r="W233" s="2"/>
      <c r="X233" s="2"/>
      <c r="Y233" s="2"/>
      <c r="Z233" s="2"/>
      <c r="AA233" s="2"/>
      <c r="AB233" s="2"/>
      <c r="AC233" s="2"/>
      <c r="AD233" s="2"/>
      <c r="AE233" s="2"/>
      <c r="AF233" s="2"/>
      <c r="AG233" s="2"/>
      <c r="AH233" s="2"/>
      <c r="AI233" s="2"/>
      <c r="AJ233" s="2"/>
      <c r="AK233" s="2"/>
    </row>
    <row r="234" spans="2:37">
      <c r="B234" s="2"/>
      <c r="C234" s="2"/>
      <c r="D234" s="2"/>
      <c r="E234" s="2"/>
      <c r="F234" s="2"/>
      <c r="G234" s="2"/>
      <c r="H234" s="2"/>
      <c r="I234" s="2"/>
      <c r="J234" s="2"/>
      <c r="K234" s="2"/>
      <c r="L234" s="2"/>
      <c r="M234" s="2"/>
      <c r="N234" s="2"/>
      <c r="O234" s="140" t="str">
        <f t="shared" si="48"/>
        <v>Instructional Support: &lt;1%</v>
      </c>
      <c r="P234" s="210" t="e">
        <f t="shared" si="49"/>
        <v>#N/A</v>
      </c>
      <c r="Q234" s="140" t="str">
        <f t="shared" si="50"/>
        <v>Instructional Support</v>
      </c>
      <c r="R234" s="2"/>
      <c r="S234" s="2"/>
      <c r="T234" s="2"/>
      <c r="U234" s="2"/>
      <c r="V234" s="2"/>
      <c r="W234" s="2"/>
      <c r="X234" s="2"/>
      <c r="Y234" s="2"/>
      <c r="Z234" s="2"/>
      <c r="AA234" s="2"/>
      <c r="AB234" s="2"/>
      <c r="AC234" s="2"/>
      <c r="AD234" s="2"/>
      <c r="AE234" s="2"/>
      <c r="AF234" s="2"/>
      <c r="AG234" s="2"/>
      <c r="AH234" s="2"/>
      <c r="AI234" s="2"/>
      <c r="AJ234" s="2"/>
      <c r="AK234" s="2"/>
    </row>
    <row r="235" spans="2:37">
      <c r="B235" s="2"/>
      <c r="C235" s="2"/>
      <c r="D235" s="2"/>
      <c r="E235" s="2"/>
      <c r="F235" s="2"/>
      <c r="G235" s="2"/>
      <c r="H235" s="2"/>
      <c r="I235" s="2"/>
      <c r="J235" s="2"/>
      <c r="K235" s="2"/>
      <c r="L235" s="2"/>
      <c r="M235" s="2"/>
      <c r="N235" s="2"/>
      <c r="O235" s="140" t="str">
        <f t="shared" si="48"/>
        <v>Administration &amp; Support: 19%</v>
      </c>
      <c r="P235" s="210">
        <f t="shared" si="49"/>
        <v>0.19</v>
      </c>
      <c r="Q235" s="140" t="str">
        <f t="shared" si="50"/>
        <v>Administration &amp; Support</v>
      </c>
      <c r="R235" s="2"/>
      <c r="S235" s="2"/>
      <c r="T235" s="2"/>
      <c r="U235" s="2"/>
      <c r="V235" s="2"/>
      <c r="W235" s="2"/>
      <c r="X235" s="2"/>
      <c r="Y235" s="2"/>
      <c r="Z235" s="2"/>
      <c r="AA235" s="2"/>
      <c r="AB235" s="2"/>
      <c r="AC235" s="2"/>
      <c r="AD235" s="2"/>
      <c r="AE235" s="2"/>
      <c r="AF235" s="2"/>
      <c r="AG235" s="2"/>
      <c r="AH235" s="2"/>
      <c r="AI235" s="2"/>
      <c r="AJ235" s="2"/>
      <c r="AK235" s="2"/>
    </row>
    <row r="236" spans="2:37">
      <c r="B236" s="2"/>
      <c r="C236" s="2"/>
      <c r="D236" s="2"/>
      <c r="E236" s="2"/>
      <c r="F236" s="2"/>
      <c r="G236" s="2"/>
      <c r="H236" s="2"/>
      <c r="I236" s="2"/>
      <c r="J236" s="2"/>
      <c r="K236" s="2"/>
      <c r="L236" s="2"/>
      <c r="M236" s="2"/>
      <c r="N236" s="2"/>
      <c r="O236" s="140" t="str">
        <f t="shared" si="48"/>
        <v>Operations &amp; Maintenance: 29%</v>
      </c>
      <c r="P236" s="210">
        <f t="shared" si="49"/>
        <v>0.28999999999999998</v>
      </c>
      <c r="Q236" s="140" t="str">
        <f t="shared" si="50"/>
        <v>Operations &amp; Maintenance</v>
      </c>
      <c r="R236" s="2"/>
      <c r="S236" s="2"/>
      <c r="T236" s="2"/>
      <c r="U236" s="2"/>
      <c r="V236" s="2"/>
      <c r="W236" s="2"/>
      <c r="X236" s="2"/>
      <c r="Y236" s="2"/>
      <c r="Z236" s="2"/>
      <c r="AA236" s="2"/>
      <c r="AB236" s="2"/>
      <c r="AC236" s="2"/>
      <c r="AD236" s="2"/>
      <c r="AE236" s="2"/>
      <c r="AF236" s="2"/>
      <c r="AG236" s="2"/>
      <c r="AH236" s="2"/>
      <c r="AI236" s="2"/>
      <c r="AJ236" s="2"/>
      <c r="AK236" s="2"/>
    </row>
    <row r="237" spans="2:37">
      <c r="B237" s="2"/>
      <c r="C237" s="2"/>
      <c r="D237" s="2"/>
      <c r="E237" s="2"/>
      <c r="F237" s="2"/>
      <c r="G237" s="2"/>
      <c r="H237" s="2"/>
      <c r="I237" s="2"/>
      <c r="J237" s="2"/>
      <c r="K237" s="2"/>
      <c r="L237" s="2"/>
      <c r="M237" s="2"/>
      <c r="N237" s="2"/>
      <c r="O237" s="140" t="str">
        <f t="shared" si="48"/>
        <v>Transportation: 5%</v>
      </c>
      <c r="P237" s="210">
        <f t="shared" si="49"/>
        <v>0.05</v>
      </c>
      <c r="Q237" s="140" t="str">
        <f t="shared" si="50"/>
        <v>Transportation</v>
      </c>
      <c r="R237" s="2"/>
      <c r="S237" s="2"/>
      <c r="T237" s="2"/>
      <c r="U237" s="2"/>
      <c r="V237" s="2"/>
      <c r="W237" s="2"/>
      <c r="X237" s="2"/>
      <c r="Y237" s="2"/>
      <c r="Z237" s="2"/>
      <c r="AA237" s="2"/>
      <c r="AB237" s="2"/>
      <c r="AC237" s="2"/>
      <c r="AD237" s="2"/>
      <c r="AE237" s="2"/>
      <c r="AF237" s="2"/>
      <c r="AG237" s="2"/>
      <c r="AH237" s="2"/>
      <c r="AI237" s="2"/>
      <c r="AJ237" s="2"/>
      <c r="AK237" s="2"/>
    </row>
    <row r="238" spans="2:37">
      <c r="B238" s="2"/>
      <c r="C238" s="2"/>
      <c r="D238" s="2"/>
      <c r="E238" s="2"/>
      <c r="F238" s="2"/>
      <c r="G238" s="2"/>
      <c r="H238" s="2"/>
      <c r="I238" s="2"/>
      <c r="J238" s="2"/>
      <c r="K238" s="2"/>
      <c r="L238" s="2"/>
      <c r="M238" s="2"/>
      <c r="N238" s="2"/>
      <c r="O238" s="140" t="str">
        <f t="shared" si="48"/>
        <v>Capital Improvements: 0%</v>
      </c>
      <c r="P238" s="210" t="e">
        <f t="shared" si="49"/>
        <v>#N/A</v>
      </c>
      <c r="Q238" s="140" t="str">
        <f t="shared" si="50"/>
        <v>Capital Improvements</v>
      </c>
      <c r="R238" s="2"/>
      <c r="S238" s="2"/>
      <c r="T238" s="2"/>
      <c r="U238" s="2"/>
      <c r="V238" s="2"/>
      <c r="W238" s="2"/>
      <c r="X238" s="2"/>
      <c r="Y238" s="2"/>
      <c r="Z238" s="2"/>
      <c r="AA238" s="2"/>
      <c r="AB238" s="2"/>
      <c r="AC238" s="2"/>
      <c r="AD238" s="2"/>
      <c r="AE238" s="2"/>
      <c r="AF238" s="2"/>
      <c r="AG238" s="2"/>
      <c r="AH238" s="2"/>
      <c r="AI238" s="2"/>
      <c r="AJ238" s="2"/>
      <c r="AK238" s="2"/>
    </row>
    <row r="239" spans="2:37">
      <c r="B239" s="2"/>
      <c r="C239" s="2"/>
      <c r="D239" s="2"/>
      <c r="E239" s="2"/>
      <c r="F239" s="2"/>
      <c r="G239" s="2"/>
      <c r="H239" s="2"/>
      <c r="I239" s="2"/>
      <c r="J239" s="2"/>
      <c r="K239" s="2"/>
      <c r="L239" s="2"/>
      <c r="M239" s="2"/>
      <c r="N239" s="2"/>
      <c r="O239" s="140" t="str">
        <f>$B202&amp;": "&amp;IFERROR(IF(I202/$I$203&gt;=0.01,P239*100,IF(AND(I202/$I$203&lt;0.01,I202/$I$203&gt;0),LEFT(J202,2),0)),0)&amp;"%"</f>
        <v>Other Costs: 0%</v>
      </c>
      <c r="P239" s="210" t="e">
        <f>IF(I202/$I$203&lt;0.01,#N/A,$J202)</f>
        <v>#N/A</v>
      </c>
      <c r="Q239" s="140" t="str">
        <f>LEFT(O239,(FIND(":",O239)-1))</f>
        <v>Other Costs</v>
      </c>
      <c r="R239" s="2"/>
      <c r="S239" s="2"/>
      <c r="T239" s="2"/>
      <c r="U239" s="2"/>
      <c r="V239" s="2"/>
      <c r="W239" s="2"/>
      <c r="X239" s="2"/>
      <c r="Y239" s="2"/>
      <c r="Z239" s="2"/>
      <c r="AA239" s="2"/>
      <c r="AB239" s="2"/>
      <c r="AC239" s="2"/>
      <c r="AD239" s="2"/>
      <c r="AE239" s="2"/>
      <c r="AF239" s="2"/>
      <c r="AG239" s="2"/>
      <c r="AH239" s="2"/>
      <c r="AI239" s="2"/>
      <c r="AJ239" s="2"/>
      <c r="AK239" s="2"/>
    </row>
    <row r="240" spans="2:37">
      <c r="B240" s="2"/>
      <c r="C240" s="2"/>
      <c r="D240" s="2"/>
      <c r="E240" s="2"/>
      <c r="F240" s="2"/>
      <c r="G240" s="2"/>
      <c r="H240" s="2"/>
      <c r="I240" s="2"/>
      <c r="J240" s="2"/>
      <c r="K240" s="2"/>
      <c r="L240" s="2"/>
      <c r="M240" s="2"/>
      <c r="N240" s="2"/>
      <c r="O240" s="2"/>
      <c r="P240" s="295"/>
      <c r="Q240" s="2"/>
      <c r="R240" s="2"/>
      <c r="S240" s="2"/>
      <c r="T240" s="2"/>
      <c r="U240" s="2"/>
      <c r="V240" s="2"/>
      <c r="W240" s="2"/>
      <c r="X240" s="2"/>
      <c r="Y240" s="2"/>
      <c r="Z240" s="2"/>
      <c r="AA240" s="2"/>
      <c r="AB240" s="2"/>
      <c r="AC240" s="2"/>
      <c r="AD240" s="2"/>
      <c r="AE240" s="2"/>
      <c r="AF240" s="2"/>
      <c r="AG240" s="2"/>
      <c r="AH240" s="2"/>
      <c r="AI240" s="2"/>
      <c r="AJ240" s="2"/>
      <c r="AK240" s="2"/>
    </row>
    <row r="241" spans="2:37">
      <c r="B241" s="2"/>
      <c r="C241" s="2"/>
      <c r="D241" s="2"/>
      <c r="E241" s="2"/>
      <c r="F241" s="2"/>
      <c r="G241" s="2"/>
      <c r="H241" s="2"/>
      <c r="I241" s="2"/>
      <c r="J241" s="2"/>
      <c r="K241" s="2"/>
      <c r="L241" s="2"/>
      <c r="M241" s="2"/>
      <c r="N241" s="2"/>
      <c r="O241" s="2"/>
      <c r="P241" s="2"/>
      <c r="Q241" s="2"/>
      <c r="R241" s="2"/>
      <c r="S241" s="2"/>
      <c r="T241" s="2"/>
      <c r="U241" s="2"/>
      <c r="V241" s="2"/>
      <c r="W241" s="2"/>
      <c r="X241" s="2"/>
      <c r="Y241" s="2"/>
      <c r="Z241" s="2"/>
      <c r="AA241" s="2"/>
      <c r="AB241" s="2"/>
      <c r="AC241" s="2"/>
      <c r="AD241" s="2"/>
      <c r="AE241" s="2"/>
      <c r="AF241" s="2"/>
      <c r="AG241" s="2"/>
      <c r="AH241" s="2"/>
      <c r="AI241" s="2"/>
      <c r="AJ241" s="2"/>
      <c r="AK241" s="2"/>
    </row>
    <row r="242" spans="2:37">
      <c r="B242" s="2"/>
      <c r="C242" s="2"/>
      <c r="D242" s="2"/>
      <c r="E242" s="2"/>
      <c r="F242" s="2"/>
      <c r="G242" s="2"/>
      <c r="H242" s="2"/>
      <c r="I242" s="2"/>
      <c r="J242" s="2"/>
      <c r="K242" s="2"/>
      <c r="L242" s="2"/>
      <c r="M242" s="2"/>
      <c r="N242" s="2"/>
      <c r="R242" s="2"/>
      <c r="S242" s="2"/>
      <c r="T242" s="2"/>
      <c r="U242" s="2"/>
      <c r="V242" s="2"/>
      <c r="W242" s="2"/>
      <c r="X242" s="2"/>
      <c r="Y242" s="2"/>
      <c r="Z242" s="2"/>
      <c r="AA242" s="2"/>
      <c r="AB242" s="2"/>
      <c r="AC242" s="2"/>
      <c r="AD242" s="2"/>
      <c r="AE242" s="2"/>
      <c r="AF242" s="2"/>
      <c r="AG242" s="2"/>
      <c r="AH242" s="2"/>
      <c r="AI242" s="2"/>
      <c r="AJ242" s="2"/>
      <c r="AK242" s="2"/>
    </row>
    <row r="243" spans="2:37">
      <c r="B243" s="2"/>
      <c r="C243" s="2"/>
      <c r="D243" s="2"/>
      <c r="E243" s="2"/>
      <c r="F243" s="2"/>
      <c r="G243" s="2"/>
      <c r="H243" s="2"/>
      <c r="I243" s="2"/>
      <c r="J243" s="2"/>
      <c r="K243" s="2"/>
      <c r="L243" s="2"/>
      <c r="M243" s="2"/>
      <c r="N243" s="2"/>
      <c r="R243" s="2"/>
      <c r="S243" s="2"/>
      <c r="T243" s="2"/>
      <c r="U243" s="2"/>
      <c r="V243" s="2"/>
      <c r="W243" s="2"/>
      <c r="X243" s="2"/>
      <c r="Y243" s="2"/>
      <c r="Z243" s="2"/>
      <c r="AA243" s="2"/>
      <c r="AB243" s="2"/>
      <c r="AC243" s="2"/>
      <c r="AD243" s="2"/>
      <c r="AE243" s="2"/>
      <c r="AF243" s="2"/>
      <c r="AG243" s="2"/>
      <c r="AH243" s="2"/>
      <c r="AI243" s="2"/>
      <c r="AJ243" s="2"/>
      <c r="AK243" s="2"/>
    </row>
    <row r="244" spans="2:37">
      <c r="B244" s="2"/>
      <c r="C244" s="2"/>
      <c r="D244" s="2"/>
      <c r="E244" s="2"/>
      <c r="F244" s="2"/>
      <c r="G244" s="2"/>
      <c r="H244" s="2"/>
      <c r="I244" s="2"/>
      <c r="J244" s="2"/>
      <c r="K244" s="2"/>
      <c r="L244" s="2"/>
      <c r="M244" s="2"/>
      <c r="N244" s="2"/>
      <c r="R244" s="2"/>
      <c r="S244" s="2"/>
      <c r="T244" s="2"/>
      <c r="U244" s="2"/>
      <c r="V244" s="2"/>
      <c r="W244" s="2"/>
      <c r="X244" s="2"/>
      <c r="Y244" s="2"/>
      <c r="Z244" s="2"/>
      <c r="AA244" s="2"/>
      <c r="AB244" s="2"/>
      <c r="AC244" s="2"/>
      <c r="AD244" s="2"/>
      <c r="AE244" s="2"/>
      <c r="AF244" s="2"/>
      <c r="AG244" s="2"/>
      <c r="AH244" s="2"/>
      <c r="AI244" s="2"/>
      <c r="AJ244" s="2"/>
      <c r="AK244" s="2"/>
    </row>
    <row r="245" spans="2:37">
      <c r="B245" s="2"/>
      <c r="C245" s="2"/>
      <c r="D245" s="2"/>
      <c r="E245" s="2"/>
      <c r="F245" s="2"/>
      <c r="G245" s="2"/>
      <c r="H245" s="2"/>
      <c r="I245" s="2"/>
      <c r="J245" s="2"/>
      <c r="K245" s="2"/>
      <c r="L245" s="2"/>
      <c r="M245" s="2"/>
      <c r="N245" s="2"/>
      <c r="R245" s="2"/>
      <c r="S245" s="2"/>
      <c r="T245" s="2"/>
      <c r="U245" s="2"/>
      <c r="V245" s="2"/>
      <c r="W245" s="2"/>
      <c r="X245" s="2"/>
      <c r="Y245" s="2"/>
      <c r="Z245" s="2"/>
      <c r="AA245" s="2"/>
      <c r="AB245" s="2"/>
      <c r="AC245" s="2"/>
      <c r="AD245" s="2"/>
      <c r="AE245" s="2"/>
      <c r="AF245" s="2"/>
      <c r="AG245" s="2"/>
      <c r="AH245" s="2"/>
      <c r="AI245" s="2"/>
      <c r="AJ245" s="2"/>
      <c r="AK245" s="2"/>
    </row>
    <row r="246" spans="2:37">
      <c r="B246" s="2"/>
      <c r="C246" s="2"/>
      <c r="D246" s="2"/>
      <c r="E246" s="2"/>
      <c r="F246" s="2"/>
      <c r="G246" s="2"/>
      <c r="H246" s="2"/>
      <c r="I246" s="2"/>
      <c r="J246" s="2"/>
      <c r="K246" s="2"/>
      <c r="L246" s="2"/>
      <c r="M246" s="2"/>
      <c r="N246" s="2"/>
      <c r="R246" s="2"/>
      <c r="S246" s="2"/>
      <c r="T246" s="2"/>
      <c r="U246" s="2"/>
      <c r="V246" s="2"/>
      <c r="W246" s="2"/>
      <c r="X246" s="2"/>
      <c r="Y246" s="2"/>
      <c r="Z246" s="2"/>
      <c r="AA246" s="2"/>
      <c r="AB246" s="2"/>
      <c r="AC246" s="2"/>
      <c r="AD246" s="2"/>
      <c r="AE246" s="2"/>
      <c r="AF246" s="2"/>
      <c r="AG246" s="2"/>
      <c r="AH246" s="2"/>
      <c r="AI246" s="2"/>
      <c r="AJ246" s="2"/>
      <c r="AK246" s="2"/>
    </row>
    <row r="247" spans="2:37">
      <c r="B247" s="2"/>
      <c r="C247" s="2"/>
      <c r="D247" s="2"/>
      <c r="E247" s="2"/>
      <c r="F247" s="2"/>
      <c r="G247" s="2"/>
      <c r="H247" s="2"/>
      <c r="I247" s="2"/>
      <c r="J247" s="2"/>
      <c r="K247" s="2"/>
      <c r="L247" s="2"/>
      <c r="M247" s="2"/>
      <c r="N247" s="2"/>
      <c r="R247" s="2"/>
      <c r="S247" s="2"/>
      <c r="T247" s="2"/>
      <c r="U247" s="2"/>
      <c r="V247" s="2"/>
      <c r="W247" s="2"/>
      <c r="X247" s="2"/>
      <c r="Y247" s="2"/>
      <c r="Z247" s="2"/>
      <c r="AA247" s="2"/>
      <c r="AB247" s="2"/>
      <c r="AC247" s="2"/>
      <c r="AD247" s="2"/>
      <c r="AE247" s="2"/>
      <c r="AF247" s="2"/>
      <c r="AG247" s="2"/>
      <c r="AH247" s="2"/>
      <c r="AI247" s="2"/>
      <c r="AJ247" s="2"/>
      <c r="AK247" s="2"/>
    </row>
    <row r="248" spans="2:37">
      <c r="B248" s="2"/>
      <c r="C248" s="2"/>
      <c r="D248" s="2"/>
      <c r="E248" s="2"/>
      <c r="F248" s="2"/>
      <c r="G248" s="2"/>
      <c r="H248" s="2"/>
      <c r="I248" s="2"/>
      <c r="J248" s="2"/>
      <c r="K248" s="2"/>
      <c r="L248" s="2"/>
      <c r="M248" s="2"/>
      <c r="N248" s="2"/>
      <c r="R248" s="2"/>
      <c r="S248" s="2"/>
      <c r="T248" s="2"/>
      <c r="U248" s="2"/>
      <c r="V248" s="2"/>
      <c r="W248" s="2"/>
      <c r="X248" s="2"/>
      <c r="Y248" s="2"/>
      <c r="Z248" s="2"/>
      <c r="AA248" s="2"/>
      <c r="AB248" s="2"/>
      <c r="AC248" s="2"/>
      <c r="AD248" s="2"/>
      <c r="AE248" s="2"/>
      <c r="AF248" s="2"/>
      <c r="AG248" s="2"/>
      <c r="AH248" s="2"/>
      <c r="AI248" s="2"/>
      <c r="AJ248" s="2"/>
      <c r="AK248" s="2"/>
    </row>
    <row r="249" spans="2:37">
      <c r="B249" s="2"/>
      <c r="C249" s="2"/>
      <c r="D249" s="2"/>
      <c r="E249" s="2"/>
      <c r="F249" s="2"/>
      <c r="G249" s="2"/>
      <c r="H249" s="2"/>
      <c r="I249" s="2"/>
      <c r="J249" s="2"/>
      <c r="K249" s="2"/>
      <c r="L249" s="2"/>
      <c r="M249" s="2"/>
      <c r="N249" s="2"/>
      <c r="R249" s="2"/>
      <c r="S249" s="2"/>
      <c r="T249" s="2"/>
      <c r="U249" s="2"/>
      <c r="V249" s="2"/>
      <c r="W249" s="2"/>
      <c r="X249" s="2"/>
      <c r="Y249" s="2"/>
      <c r="Z249" s="2"/>
      <c r="AA249" s="2"/>
      <c r="AB249" s="2"/>
      <c r="AC249" s="2"/>
      <c r="AD249" s="2"/>
      <c r="AE249" s="2"/>
      <c r="AF249" s="2"/>
      <c r="AG249" s="2"/>
      <c r="AH249" s="2"/>
      <c r="AI249" s="2"/>
      <c r="AJ249" s="2"/>
      <c r="AK249" s="2"/>
    </row>
    <row r="250" spans="2:37">
      <c r="B250" s="2"/>
      <c r="C250" s="2"/>
      <c r="D250" s="2"/>
      <c r="E250" s="2"/>
      <c r="F250" s="2"/>
      <c r="G250" s="2"/>
      <c r="H250" s="2"/>
      <c r="I250" s="2"/>
      <c r="J250" s="2"/>
      <c r="K250" s="2"/>
      <c r="L250" s="2"/>
      <c r="M250" s="2"/>
      <c r="N250" s="2"/>
      <c r="O250" s="2"/>
      <c r="P250" s="2"/>
      <c r="Q250" s="2"/>
      <c r="R250" s="2"/>
      <c r="S250" s="2"/>
      <c r="T250" s="2"/>
      <c r="U250" s="2"/>
      <c r="V250" s="2"/>
      <c r="W250" s="2"/>
      <c r="X250" s="2"/>
      <c r="Y250" s="2"/>
      <c r="Z250" s="2"/>
      <c r="AA250" s="2"/>
      <c r="AB250" s="2"/>
      <c r="AC250" s="2"/>
      <c r="AD250" s="2"/>
      <c r="AE250" s="2"/>
      <c r="AF250" s="2"/>
      <c r="AG250" s="2"/>
      <c r="AH250" s="2"/>
      <c r="AI250" s="2"/>
      <c r="AJ250" s="2"/>
      <c r="AK250" s="2"/>
    </row>
    <row r="251" spans="2:37">
      <c r="B251" s="2"/>
      <c r="C251" s="2"/>
      <c r="D251" s="2"/>
      <c r="E251" s="2"/>
      <c r="F251" s="2"/>
      <c r="G251" s="2"/>
      <c r="H251" s="2"/>
      <c r="I251" s="2"/>
      <c r="J251" s="2"/>
      <c r="K251" s="2"/>
      <c r="L251" s="2"/>
      <c r="M251" s="2"/>
      <c r="N251" s="2"/>
      <c r="O251" s="2"/>
      <c r="P251" s="2"/>
      <c r="Q251" s="2"/>
      <c r="R251" s="2"/>
      <c r="S251" s="2"/>
      <c r="T251" s="2"/>
      <c r="U251" s="2"/>
      <c r="V251" s="2"/>
      <c r="W251" s="2"/>
      <c r="X251" s="2"/>
      <c r="Y251" s="2"/>
      <c r="Z251" s="2"/>
      <c r="AA251" s="2"/>
      <c r="AB251" s="2"/>
      <c r="AC251" s="2"/>
      <c r="AD251" s="2"/>
      <c r="AE251" s="2"/>
      <c r="AF251" s="2"/>
      <c r="AG251" s="2"/>
      <c r="AH251" s="2"/>
      <c r="AI251" s="2"/>
      <c r="AJ251" s="2"/>
      <c r="AK251" s="2"/>
    </row>
    <row r="252" spans="2:37" ht="18">
      <c r="B252" s="296" t="s">
        <v>30</v>
      </c>
      <c r="C252" s="143"/>
      <c r="D252" s="143"/>
      <c r="E252" s="143"/>
      <c r="F252" s="143"/>
      <c r="G252" s="143"/>
      <c r="H252" s="143"/>
      <c r="I252" s="143"/>
      <c r="J252" s="143"/>
      <c r="K252" s="143"/>
      <c r="L252" s="143"/>
      <c r="M252" s="2"/>
      <c r="N252" s="2"/>
      <c r="O252" s="2"/>
      <c r="P252" s="2"/>
      <c r="Q252" s="2"/>
      <c r="R252" s="2"/>
      <c r="S252" s="2"/>
      <c r="T252" s="2"/>
      <c r="U252" s="2"/>
      <c r="V252" s="2"/>
      <c r="W252" s="2"/>
      <c r="X252" s="2"/>
      <c r="Y252" s="2"/>
      <c r="Z252" s="2"/>
      <c r="AA252" s="2"/>
      <c r="AB252" s="2"/>
      <c r="AC252" s="2"/>
      <c r="AD252" s="2"/>
      <c r="AE252" s="2"/>
      <c r="AF252" s="2"/>
      <c r="AG252" s="2"/>
      <c r="AH252" s="2"/>
      <c r="AI252" s="2"/>
      <c r="AJ252" s="2"/>
      <c r="AK252" s="2"/>
    </row>
    <row r="253" spans="2:37" ht="18">
      <c r="B253" s="296" t="s">
        <v>185</v>
      </c>
      <c r="C253" s="143"/>
      <c r="D253" s="143"/>
      <c r="E253" s="143"/>
      <c r="F253" s="143"/>
      <c r="G253" s="143"/>
      <c r="H253" s="143"/>
      <c r="I253" s="143"/>
      <c r="J253" s="143"/>
      <c r="K253" s="143"/>
      <c r="L253" s="143"/>
      <c r="M253" s="2"/>
      <c r="N253" s="2"/>
      <c r="O253" s="2"/>
      <c r="P253" s="2"/>
      <c r="Q253" s="2"/>
      <c r="R253" s="2"/>
      <c r="S253" s="2"/>
      <c r="T253" s="2"/>
      <c r="U253" s="2"/>
      <c r="V253" s="2"/>
      <c r="W253" s="2"/>
      <c r="X253" s="2"/>
      <c r="Y253" s="2"/>
      <c r="Z253" s="2"/>
      <c r="AA253" s="2"/>
      <c r="AB253" s="2"/>
      <c r="AC253" s="2"/>
      <c r="AD253" s="2"/>
      <c r="AE253" s="2"/>
      <c r="AF253" s="2"/>
      <c r="AG253" s="2"/>
      <c r="AH253" s="2"/>
      <c r="AI253" s="2"/>
      <c r="AJ253" s="2"/>
      <c r="AK253" s="2"/>
    </row>
    <row r="254" spans="2:37">
      <c r="B254" s="2"/>
      <c r="C254" s="2"/>
      <c r="D254" s="2"/>
      <c r="E254" s="2"/>
      <c r="F254" s="2"/>
      <c r="G254" s="2"/>
      <c r="H254" s="2"/>
      <c r="I254" s="2"/>
      <c r="J254" s="2"/>
      <c r="K254" s="2"/>
      <c r="L254" s="2"/>
      <c r="M254" s="2"/>
      <c r="N254" s="2"/>
      <c r="O254" s="2"/>
      <c r="P254" s="2"/>
      <c r="Q254" s="2"/>
      <c r="R254" s="2"/>
      <c r="S254" s="2"/>
      <c r="T254" s="2"/>
      <c r="U254" s="2"/>
      <c r="V254" s="2"/>
      <c r="W254" s="2"/>
      <c r="X254" s="2"/>
      <c r="Y254" s="2"/>
      <c r="Z254" s="2"/>
      <c r="AA254" s="2"/>
      <c r="AB254" s="2"/>
      <c r="AC254" s="2"/>
      <c r="AD254" s="2"/>
      <c r="AE254" s="2"/>
      <c r="AF254" s="2"/>
      <c r="AG254" s="2"/>
      <c r="AH254" s="2"/>
      <c r="AI254" s="2"/>
      <c r="AJ254" s="2"/>
      <c r="AK254" s="2"/>
    </row>
    <row r="255" spans="2:37" ht="16.5" customHeight="1">
      <c r="B255" s="4"/>
      <c r="C255" s="42" t="s">
        <v>1</v>
      </c>
      <c r="D255" s="297"/>
      <c r="E255" s="298" t="s">
        <v>2</v>
      </c>
      <c r="F255" s="298"/>
      <c r="G255" s="298" t="s">
        <v>2</v>
      </c>
      <c r="H255" s="298"/>
      <c r="I255" s="297"/>
      <c r="J255" s="298" t="s">
        <v>2</v>
      </c>
      <c r="K255" s="790"/>
      <c r="L255" s="791"/>
      <c r="M255" s="2"/>
      <c r="N255" s="2"/>
      <c r="O255" s="2"/>
      <c r="P255" s="2"/>
      <c r="Q255" s="2"/>
      <c r="R255" s="2"/>
      <c r="S255" s="2"/>
      <c r="T255" s="2"/>
      <c r="U255" s="2"/>
      <c r="V255" s="2"/>
      <c r="W255" s="2"/>
      <c r="X255" s="2"/>
      <c r="Y255" s="2"/>
      <c r="Z255" s="2"/>
      <c r="AA255" s="2"/>
      <c r="AB255" s="2"/>
      <c r="AC255" s="2"/>
      <c r="AD255" s="2"/>
      <c r="AE255" s="2"/>
      <c r="AF255" s="2"/>
      <c r="AG255" s="2"/>
      <c r="AH255" s="2"/>
      <c r="AI255" s="2"/>
      <c r="AJ255" s="2"/>
      <c r="AK255" s="2"/>
    </row>
    <row r="256" spans="2:37">
      <c r="B256" s="2"/>
      <c r="C256" s="43"/>
      <c r="D256" s="299" t="str">
        <f>D4</f>
        <v>2023-2024</v>
      </c>
      <c r="E256" s="300" t="s">
        <v>3</v>
      </c>
      <c r="F256" s="299" t="str">
        <f>F4</f>
        <v>2024-2025</v>
      </c>
      <c r="G256" s="300" t="s">
        <v>3</v>
      </c>
      <c r="H256" s="300" t="s">
        <v>2</v>
      </c>
      <c r="I256" s="299" t="str">
        <f>I4</f>
        <v>2025-2026</v>
      </c>
      <c r="J256" s="300" t="s">
        <v>3</v>
      </c>
      <c r="K256" s="780" t="s">
        <v>2</v>
      </c>
      <c r="L256" s="781"/>
      <c r="M256" s="2"/>
      <c r="N256" s="2"/>
      <c r="O256" s="2"/>
      <c r="P256" s="2"/>
      <c r="Q256" s="2"/>
      <c r="R256" s="2"/>
      <c r="S256" s="2"/>
      <c r="T256" s="2"/>
      <c r="U256" s="2"/>
      <c r="V256" s="2"/>
      <c r="W256" s="2"/>
      <c r="X256" s="2"/>
      <c r="Y256" s="2"/>
      <c r="Z256" s="2"/>
      <c r="AA256" s="2"/>
      <c r="AB256" s="2"/>
      <c r="AC256" s="2"/>
      <c r="AD256" s="2"/>
      <c r="AE256" s="2"/>
      <c r="AF256" s="2"/>
      <c r="AG256" s="2"/>
      <c r="AH256" s="2"/>
      <c r="AI256" s="2"/>
      <c r="AJ256" s="2"/>
      <c r="AK256" s="2"/>
    </row>
    <row r="257" spans="2:37" ht="16.5" customHeight="1">
      <c r="B257" s="2"/>
      <c r="C257" s="301" t="s">
        <v>4</v>
      </c>
      <c r="D257" s="302" t="s">
        <v>5</v>
      </c>
      <c r="E257" s="303" t="s">
        <v>143</v>
      </c>
      <c r="F257" s="302" t="s">
        <v>5</v>
      </c>
      <c r="G257" s="303" t="s">
        <v>143</v>
      </c>
      <c r="H257" s="303" t="s">
        <v>144</v>
      </c>
      <c r="I257" s="302" t="s">
        <v>6</v>
      </c>
      <c r="J257" s="302" t="s">
        <v>143</v>
      </c>
      <c r="K257" s="689" t="s">
        <v>144</v>
      </c>
      <c r="L257" s="690"/>
      <c r="M257" s="2"/>
      <c r="N257" s="2"/>
      <c r="O257" s="2"/>
      <c r="P257" s="2"/>
      <c r="Q257" s="2"/>
      <c r="R257" s="2"/>
      <c r="S257" s="2"/>
      <c r="T257" s="2"/>
      <c r="U257" s="2"/>
      <c r="V257" s="2"/>
      <c r="W257" s="2"/>
      <c r="X257" s="2"/>
      <c r="Y257" s="2"/>
      <c r="Z257" s="2"/>
      <c r="AA257" s="2"/>
      <c r="AB257" s="2"/>
      <c r="AC257" s="2"/>
      <c r="AD257" s="2"/>
      <c r="AE257" s="2"/>
      <c r="AF257" s="2"/>
      <c r="AG257" s="2"/>
      <c r="AH257" s="2"/>
      <c r="AI257" s="2"/>
      <c r="AJ257" s="2"/>
      <c r="AK257" s="2"/>
    </row>
    <row r="258" spans="2:37" ht="16.5" customHeight="1">
      <c r="B258" s="304" t="s">
        <v>8</v>
      </c>
      <c r="C258" s="304"/>
      <c r="D258" s="305">
        <f>SUM(D336)</f>
        <v>157021</v>
      </c>
      <c r="E258" s="306">
        <f t="shared" ref="E258:E264" si="51">IF(OR(D$266=0,D258=0),0,IF(D258/D$266&lt;0.001,"&lt;1%",D258/D$266))</f>
        <v>1</v>
      </c>
      <c r="F258" s="305">
        <f>SUM(F336)</f>
        <v>96625</v>
      </c>
      <c r="G258" s="306">
        <f t="shared" ref="G258:G264" si="52">IF(OR(F$266=0,F258=0),0,IF(F258/F$266&lt;0.001,"&lt;1%",F258/F$266))</f>
        <v>1</v>
      </c>
      <c r="H258" s="306">
        <f t="shared" ref="H258:H267" si="53">IF(D258=0,0,((F258-D258)/D258))</f>
        <v>-0.38</v>
      </c>
      <c r="I258" s="305">
        <f>SUM(J336)</f>
        <v>275168</v>
      </c>
      <c r="J258" s="306">
        <f t="shared" ref="J258:J264" si="54">IF(OR(I$266=0,I258=0),0,IF(I258/I$266&lt;0.001,"&lt;1%",I258/I$266))</f>
        <v>1</v>
      </c>
      <c r="K258" s="788">
        <f t="shared" ref="K258:K267" si="55">IF(F258=0,0,((I258-F258)/F258))</f>
        <v>1.85</v>
      </c>
      <c r="L258" s="789"/>
      <c r="M258" s="2"/>
      <c r="N258" s="2"/>
      <c r="O258" s="2"/>
      <c r="P258" s="2"/>
      <c r="Q258" s="2"/>
      <c r="R258" s="2"/>
      <c r="S258" s="2"/>
      <c r="T258" s="2"/>
      <c r="U258" s="2"/>
      <c r="V258" s="2"/>
      <c r="W258" s="2"/>
      <c r="X258" s="2"/>
      <c r="Y258" s="2"/>
      <c r="Z258" s="2"/>
      <c r="AA258" s="2"/>
      <c r="AB258" s="2"/>
      <c r="AC258" s="2"/>
      <c r="AD258" s="2"/>
      <c r="AE258" s="2"/>
      <c r="AF258" s="2"/>
      <c r="AG258" s="2"/>
      <c r="AH258" s="2"/>
      <c r="AI258" s="2"/>
      <c r="AJ258" s="2"/>
      <c r="AK258" s="2"/>
    </row>
    <row r="259" spans="2:37" ht="16.5" customHeight="1">
      <c r="B259" s="44" t="s">
        <v>10</v>
      </c>
      <c r="C259" s="44"/>
      <c r="D259" s="226">
        <f>D400</f>
        <v>0</v>
      </c>
      <c r="E259" s="227">
        <f t="shared" si="51"/>
        <v>0</v>
      </c>
      <c r="F259" s="226">
        <f>F400</f>
        <v>0</v>
      </c>
      <c r="G259" s="227">
        <f t="shared" si="52"/>
        <v>0</v>
      </c>
      <c r="H259" s="227">
        <f t="shared" si="53"/>
        <v>0</v>
      </c>
      <c r="I259" s="226">
        <f>J400</f>
        <v>0</v>
      </c>
      <c r="J259" s="227">
        <f t="shared" si="54"/>
        <v>0</v>
      </c>
      <c r="K259" s="778">
        <f t="shared" si="55"/>
        <v>0</v>
      </c>
      <c r="L259" s="779"/>
      <c r="M259" s="2"/>
      <c r="N259" s="2"/>
      <c r="O259" s="2"/>
      <c r="P259" s="2"/>
      <c r="Q259" s="2"/>
      <c r="R259" s="2"/>
      <c r="S259" s="2"/>
      <c r="T259" s="2"/>
      <c r="U259" s="2"/>
      <c r="V259" s="2"/>
      <c r="W259" s="2"/>
      <c r="X259" s="2"/>
      <c r="Y259" s="2"/>
      <c r="Z259" s="2"/>
      <c r="AA259" s="2"/>
      <c r="AB259" s="2"/>
      <c r="AC259" s="2"/>
      <c r="AD259" s="2"/>
      <c r="AE259" s="2"/>
      <c r="AF259" s="2"/>
      <c r="AG259" s="2"/>
      <c r="AH259" s="2"/>
      <c r="AI259" s="2"/>
      <c r="AJ259" s="2"/>
      <c r="AK259" s="2"/>
    </row>
    <row r="260" spans="2:37" ht="16.5" customHeight="1">
      <c r="B260" s="307" t="s">
        <v>11</v>
      </c>
      <c r="C260" s="307"/>
      <c r="D260" s="308">
        <f>D464</f>
        <v>0</v>
      </c>
      <c r="E260" s="309">
        <f t="shared" si="51"/>
        <v>0</v>
      </c>
      <c r="F260" s="308">
        <f>F464</f>
        <v>0</v>
      </c>
      <c r="G260" s="309">
        <f t="shared" si="52"/>
        <v>0</v>
      </c>
      <c r="H260" s="309">
        <f t="shared" si="53"/>
        <v>0</v>
      </c>
      <c r="I260" s="308">
        <f>J464</f>
        <v>0</v>
      </c>
      <c r="J260" s="309">
        <f t="shared" si="54"/>
        <v>0</v>
      </c>
      <c r="K260" s="786">
        <f t="shared" si="55"/>
        <v>0</v>
      </c>
      <c r="L260" s="787"/>
      <c r="M260" s="2"/>
      <c r="N260" s="2"/>
      <c r="O260" s="2"/>
      <c r="P260" s="2"/>
      <c r="Q260" s="2"/>
      <c r="R260" s="2"/>
      <c r="S260" s="2"/>
      <c r="T260" s="2"/>
      <c r="U260" s="2"/>
      <c r="V260" s="2"/>
      <c r="W260" s="2"/>
      <c r="X260" s="2"/>
      <c r="Y260" s="2"/>
      <c r="Z260" s="2"/>
      <c r="AA260" s="2"/>
      <c r="AB260" s="2"/>
      <c r="AC260" s="2"/>
      <c r="AD260" s="2"/>
      <c r="AE260" s="2"/>
      <c r="AF260" s="2"/>
      <c r="AG260" s="2"/>
      <c r="AH260" s="2"/>
      <c r="AI260" s="2"/>
      <c r="AJ260" s="2"/>
      <c r="AK260" s="2"/>
    </row>
    <row r="261" spans="2:37" ht="16.5" customHeight="1">
      <c r="B261" s="44" t="s">
        <v>132</v>
      </c>
      <c r="C261" s="44"/>
      <c r="D261" s="226">
        <f>D529+D593+D657</f>
        <v>0</v>
      </c>
      <c r="E261" s="227">
        <f t="shared" si="51"/>
        <v>0</v>
      </c>
      <c r="F261" s="226">
        <f>F529+F593+F657</f>
        <v>0</v>
      </c>
      <c r="G261" s="227">
        <f t="shared" si="52"/>
        <v>0</v>
      </c>
      <c r="H261" s="227">
        <f t="shared" si="53"/>
        <v>0</v>
      </c>
      <c r="I261" s="226">
        <f>J529+J593+J657</f>
        <v>0</v>
      </c>
      <c r="J261" s="227">
        <f t="shared" si="54"/>
        <v>0</v>
      </c>
      <c r="K261" s="778">
        <f t="shared" si="55"/>
        <v>0</v>
      </c>
      <c r="L261" s="779"/>
      <c r="M261" s="2"/>
      <c r="N261" s="2"/>
      <c r="O261" s="2"/>
      <c r="P261" s="2"/>
      <c r="Q261" s="2"/>
      <c r="R261" s="2"/>
      <c r="S261" s="2"/>
      <c r="T261" s="2"/>
      <c r="U261" s="2"/>
      <c r="V261" s="2"/>
      <c r="W261" s="2"/>
      <c r="X261" s="2"/>
      <c r="Y261" s="2"/>
      <c r="Z261" s="2"/>
      <c r="AA261" s="2"/>
      <c r="AB261" s="2"/>
      <c r="AC261" s="2"/>
      <c r="AD261" s="2"/>
      <c r="AE261" s="2"/>
      <c r="AF261" s="2"/>
      <c r="AG261" s="2"/>
      <c r="AH261" s="2"/>
      <c r="AI261" s="2"/>
      <c r="AJ261" s="2"/>
      <c r="AK261" s="2"/>
    </row>
    <row r="262" spans="2:37" ht="16.5" customHeight="1">
      <c r="B262" s="307" t="s">
        <v>12</v>
      </c>
      <c r="C262" s="307"/>
      <c r="D262" s="308">
        <f>D721</f>
        <v>0</v>
      </c>
      <c r="E262" s="309">
        <f t="shared" si="51"/>
        <v>0</v>
      </c>
      <c r="F262" s="308">
        <f>F721</f>
        <v>0</v>
      </c>
      <c r="G262" s="309">
        <f t="shared" si="52"/>
        <v>0</v>
      </c>
      <c r="H262" s="309">
        <f t="shared" si="53"/>
        <v>0</v>
      </c>
      <c r="I262" s="308">
        <f>J721</f>
        <v>0</v>
      </c>
      <c r="J262" s="309">
        <f t="shared" si="54"/>
        <v>0</v>
      </c>
      <c r="K262" s="786">
        <f t="shared" si="55"/>
        <v>0</v>
      </c>
      <c r="L262" s="787"/>
      <c r="M262" s="2"/>
      <c r="N262" s="2"/>
      <c r="O262" s="2"/>
      <c r="P262" s="2"/>
      <c r="Q262" s="2"/>
      <c r="R262" s="2"/>
      <c r="S262" s="2"/>
      <c r="T262" s="2"/>
      <c r="U262" s="2"/>
      <c r="V262" s="2"/>
      <c r="W262" s="2"/>
      <c r="X262" s="2"/>
      <c r="Y262" s="2"/>
      <c r="Z262" s="2"/>
      <c r="AA262" s="2"/>
      <c r="AB262" s="2"/>
      <c r="AC262" s="2"/>
      <c r="AD262" s="2"/>
      <c r="AE262" s="2"/>
      <c r="AF262" s="2"/>
      <c r="AG262" s="2"/>
      <c r="AH262" s="2"/>
      <c r="AI262" s="2"/>
      <c r="AJ262" s="2"/>
      <c r="AK262" s="2"/>
    </row>
    <row r="263" spans="2:37" ht="16.5" customHeight="1">
      <c r="B263" s="44" t="s">
        <v>13</v>
      </c>
      <c r="C263" s="44"/>
      <c r="D263" s="226">
        <f>D785</f>
        <v>0</v>
      </c>
      <c r="E263" s="227">
        <f t="shared" si="51"/>
        <v>0</v>
      </c>
      <c r="F263" s="226">
        <f>F785</f>
        <v>0</v>
      </c>
      <c r="G263" s="227">
        <f t="shared" si="52"/>
        <v>0</v>
      </c>
      <c r="H263" s="227">
        <f t="shared" si="53"/>
        <v>0</v>
      </c>
      <c r="I263" s="226">
        <f>J785</f>
        <v>0</v>
      </c>
      <c r="J263" s="227">
        <f t="shared" si="54"/>
        <v>0</v>
      </c>
      <c r="K263" s="778">
        <f t="shared" si="55"/>
        <v>0</v>
      </c>
      <c r="L263" s="779"/>
      <c r="M263" s="2"/>
      <c r="N263" s="2"/>
      <c r="O263" s="2"/>
      <c r="P263" s="2"/>
      <c r="Q263" s="2"/>
      <c r="R263" s="2"/>
      <c r="S263" s="2"/>
      <c r="T263" s="2"/>
      <c r="U263" s="2"/>
      <c r="V263" s="2"/>
      <c r="W263" s="2"/>
      <c r="X263" s="2"/>
      <c r="Y263" s="2"/>
      <c r="Z263" s="2"/>
      <c r="AA263" s="2"/>
      <c r="AB263" s="2"/>
      <c r="AC263" s="2"/>
      <c r="AD263" s="2"/>
      <c r="AE263" s="2"/>
      <c r="AF263" s="2"/>
      <c r="AG263" s="2"/>
      <c r="AH263" s="2"/>
      <c r="AI263" s="2"/>
      <c r="AJ263" s="2"/>
      <c r="AK263" s="2"/>
    </row>
    <row r="264" spans="2:37" ht="16.5" customHeight="1">
      <c r="B264" s="307" t="s">
        <v>15</v>
      </c>
      <c r="C264" s="307"/>
      <c r="D264" s="308">
        <f>D1042</f>
        <v>0</v>
      </c>
      <c r="E264" s="309">
        <f t="shared" si="51"/>
        <v>0</v>
      </c>
      <c r="F264" s="310">
        <f>F1042</f>
        <v>0</v>
      </c>
      <c r="G264" s="309">
        <f t="shared" si="52"/>
        <v>0</v>
      </c>
      <c r="H264" s="309">
        <f t="shared" si="53"/>
        <v>0</v>
      </c>
      <c r="I264" s="310">
        <f>J1042</f>
        <v>0</v>
      </c>
      <c r="J264" s="309">
        <f t="shared" si="54"/>
        <v>0</v>
      </c>
      <c r="K264" s="786">
        <f t="shared" si="55"/>
        <v>0</v>
      </c>
      <c r="L264" s="787"/>
      <c r="M264" s="2"/>
      <c r="N264" s="2"/>
      <c r="O264" s="2"/>
      <c r="P264" s="2"/>
      <c r="Q264" s="2"/>
      <c r="R264" s="2"/>
      <c r="S264" s="2"/>
      <c r="T264" s="2"/>
      <c r="U264" s="2"/>
      <c r="V264" s="2"/>
      <c r="W264" s="2"/>
      <c r="X264" s="2"/>
      <c r="Y264" s="2"/>
      <c r="Z264" s="2"/>
      <c r="AA264" s="2"/>
      <c r="AB264" s="2"/>
      <c r="AC264" s="2"/>
      <c r="AD264" s="2"/>
      <c r="AE264" s="2"/>
      <c r="AF264" s="2"/>
      <c r="AG264" s="2"/>
      <c r="AH264" s="2"/>
      <c r="AI264" s="2"/>
      <c r="AJ264" s="2"/>
      <c r="AK264" s="2"/>
    </row>
    <row r="265" spans="2:37" ht="16.5" customHeight="1" thickBot="1">
      <c r="B265" s="237" t="s">
        <v>17</v>
      </c>
      <c r="C265" s="237"/>
      <c r="D265" s="238">
        <f>D977+D849</f>
        <v>0</v>
      </c>
      <c r="E265" s="172">
        <f>IF(OR(D$266=0,D265=0),0,IF(D265/D$266&lt;0.001,"&lt;1%",D265/D$266))</f>
        <v>0</v>
      </c>
      <c r="F265" s="238">
        <f>F977+F849</f>
        <v>0</v>
      </c>
      <c r="G265" s="172">
        <f>IF(OR(F$266=0,F265=0),0,IF(F265/F$266&lt;0.001,"&lt;1%",F265/F$266))</f>
        <v>0</v>
      </c>
      <c r="H265" s="172">
        <f t="shared" si="53"/>
        <v>0</v>
      </c>
      <c r="I265" s="238">
        <f>J977+J849</f>
        <v>0</v>
      </c>
      <c r="J265" s="172">
        <f>IF(OR(I$266=0,I265=0),0,IF(I265/I$266&lt;0.001,"&lt;1%",I265/I$266))</f>
        <v>0</v>
      </c>
      <c r="K265" s="784">
        <f t="shared" si="55"/>
        <v>0</v>
      </c>
      <c r="L265" s="785"/>
      <c r="M265" s="2"/>
      <c r="N265" s="2"/>
      <c r="O265" s="2"/>
      <c r="P265" s="2"/>
      <c r="Q265" s="2"/>
      <c r="R265" s="2"/>
      <c r="S265" s="2"/>
      <c r="T265" s="2"/>
      <c r="U265" s="2"/>
      <c r="V265" s="2"/>
      <c r="W265" s="2"/>
      <c r="X265" s="2"/>
      <c r="Y265" s="2"/>
      <c r="Z265" s="2"/>
      <c r="AA265" s="2"/>
      <c r="AB265" s="2"/>
      <c r="AC265" s="2"/>
      <c r="AD265" s="2"/>
      <c r="AE265" s="2"/>
      <c r="AF265" s="2"/>
      <c r="AG265" s="2"/>
      <c r="AH265" s="2"/>
      <c r="AI265" s="2"/>
      <c r="AJ265" s="2"/>
      <c r="AK265" s="2"/>
    </row>
    <row r="266" spans="2:37" ht="16.5" customHeight="1" thickTop="1">
      <c r="B266" s="311" t="s">
        <v>177</v>
      </c>
      <c r="C266" s="311"/>
      <c r="D266" s="312">
        <f>SUM(D258:D265)</f>
        <v>157021</v>
      </c>
      <c r="E266" s="313">
        <f>SUM(D258/D266,D259/D266,D260/D266,D261/D266,D262/D266,D263/D266,D264/D266,D265/D266)</f>
        <v>1</v>
      </c>
      <c r="F266" s="312">
        <f>SUM(F258:F265)</f>
        <v>96625</v>
      </c>
      <c r="G266" s="313">
        <f>SUM(F258/F266,F259/F266,F260/F266,F261/F266,F262/F266,F263/F266,F264/F266,F265/F266)</f>
        <v>1</v>
      </c>
      <c r="H266" s="313">
        <f t="shared" si="53"/>
        <v>-0.38</v>
      </c>
      <c r="I266" s="312">
        <f>SUM(I258:I265)</f>
        <v>275168</v>
      </c>
      <c r="J266" s="313">
        <f>SUM(I258/I266,I259/I266,I260/I266,I261/I266,I262/I266,I263/I266,I264/I266,I265/I266)</f>
        <v>1</v>
      </c>
      <c r="K266" s="782">
        <f t="shared" si="55"/>
        <v>1.85</v>
      </c>
      <c r="L266" s="783"/>
      <c r="M266" s="2"/>
      <c r="N266" s="2"/>
      <c r="O266" s="2"/>
      <c r="P266" s="2"/>
      <c r="Q266" s="2"/>
      <c r="R266" s="2"/>
      <c r="S266" s="2"/>
      <c r="T266" s="2"/>
      <c r="U266" s="2"/>
      <c r="V266" s="2"/>
      <c r="W266" s="2"/>
      <c r="X266" s="2"/>
      <c r="Y266" s="2"/>
      <c r="Z266" s="2"/>
      <c r="AA266" s="2"/>
      <c r="AB266" s="2"/>
      <c r="AC266" s="2"/>
      <c r="AD266" s="2"/>
      <c r="AE266" s="2"/>
      <c r="AF266" s="2"/>
      <c r="AG266" s="2"/>
      <c r="AH266" s="2"/>
      <c r="AI266" s="2"/>
      <c r="AJ266" s="2"/>
      <c r="AK266" s="2"/>
    </row>
    <row r="267" spans="2:37" ht="16.5" customHeight="1">
      <c r="B267" s="44" t="s">
        <v>19</v>
      </c>
      <c r="C267" s="244"/>
      <c r="D267" s="245">
        <f>D266/G1312</f>
        <v>2221</v>
      </c>
      <c r="E267" s="246"/>
      <c r="F267" s="245">
        <f>F266/I1312</f>
        <v>1171</v>
      </c>
      <c r="G267" s="267"/>
      <c r="H267" s="247">
        <f t="shared" si="53"/>
        <v>-0.47</v>
      </c>
      <c r="I267" s="245">
        <f>IF(K1312=0,0,(I266/K1312))</f>
        <v>3931</v>
      </c>
      <c r="J267" s="267"/>
      <c r="K267" s="776">
        <f t="shared" si="55"/>
        <v>2.36</v>
      </c>
      <c r="L267" s="777"/>
      <c r="M267" s="2"/>
      <c r="N267" s="2"/>
      <c r="O267" s="2"/>
      <c r="P267" s="2"/>
      <c r="Q267" s="2"/>
      <c r="R267" s="2"/>
      <c r="S267" s="2"/>
      <c r="T267" s="2"/>
      <c r="U267" s="2"/>
      <c r="V267" s="2"/>
      <c r="W267" s="2"/>
      <c r="X267" s="2"/>
      <c r="Y267" s="2"/>
      <c r="Z267" s="2"/>
      <c r="AA267" s="2"/>
      <c r="AB267" s="2"/>
      <c r="AC267" s="2"/>
      <c r="AD267" s="2"/>
      <c r="AE267" s="2"/>
      <c r="AF267" s="2"/>
      <c r="AG267" s="2"/>
      <c r="AH267" s="2"/>
      <c r="AI267" s="2"/>
      <c r="AJ267" s="2"/>
      <c r="AK267" s="2"/>
    </row>
    <row r="268" spans="2:37" ht="6.75" customHeight="1">
      <c r="B268" s="2"/>
      <c r="C268" s="2"/>
      <c r="D268" s="2"/>
      <c r="E268" s="2"/>
      <c r="F268" s="2"/>
      <c r="G268" s="2"/>
      <c r="H268" s="2"/>
      <c r="I268" s="2"/>
      <c r="J268" s="2"/>
      <c r="K268" s="2"/>
      <c r="L268" s="2"/>
      <c r="M268" s="2"/>
      <c r="N268" s="2"/>
      <c r="O268" s="2"/>
      <c r="P268" s="2"/>
      <c r="Q268" s="2"/>
      <c r="R268" s="2"/>
      <c r="S268" s="2"/>
      <c r="T268" s="2"/>
      <c r="U268" s="2"/>
      <c r="V268" s="2"/>
      <c r="W268" s="2"/>
      <c r="AB268" s="2"/>
      <c r="AC268" s="2"/>
      <c r="AD268" s="2"/>
      <c r="AE268" s="2"/>
      <c r="AF268" s="2"/>
      <c r="AG268" s="2"/>
      <c r="AH268" s="2"/>
      <c r="AI268" s="2"/>
      <c r="AJ268" s="2"/>
      <c r="AK268" s="2"/>
    </row>
    <row r="269" spans="2:37" ht="16.5" customHeight="1">
      <c r="B269" s="202" t="s">
        <v>190</v>
      </c>
      <c r="C269" s="2"/>
      <c r="D269" s="2"/>
      <c r="E269" s="2"/>
      <c r="F269" s="2"/>
      <c r="G269" s="2"/>
      <c r="H269" s="2"/>
      <c r="I269" s="2"/>
      <c r="J269" s="2"/>
      <c r="K269" s="2"/>
      <c r="L269" s="2"/>
      <c r="M269" s="2"/>
      <c r="N269" s="2"/>
      <c r="O269" s="2"/>
      <c r="P269" s="2"/>
      <c r="Q269" s="2"/>
      <c r="R269" s="2"/>
      <c r="S269" s="2"/>
      <c r="T269" s="2"/>
      <c r="U269" s="2"/>
      <c r="V269" s="2"/>
      <c r="W269" s="2"/>
      <c r="AB269" s="2"/>
      <c r="AC269" s="2"/>
      <c r="AD269" s="2"/>
      <c r="AE269" s="2"/>
      <c r="AF269" s="2"/>
      <c r="AG269" s="2"/>
      <c r="AH269" s="2"/>
      <c r="AI269" s="2"/>
      <c r="AJ269" s="2"/>
      <c r="AK269" s="2"/>
    </row>
    <row r="270" spans="2:37" ht="6.75" customHeight="1">
      <c r="B270" s="314"/>
      <c r="C270" s="2"/>
      <c r="D270" s="2"/>
      <c r="E270" s="2"/>
      <c r="F270" s="2"/>
      <c r="G270" s="2"/>
      <c r="H270" s="2"/>
      <c r="I270" s="2"/>
      <c r="J270" s="2"/>
      <c r="K270" s="2"/>
      <c r="L270" s="2"/>
      <c r="M270" s="2"/>
      <c r="N270" s="2"/>
      <c r="O270" s="2"/>
      <c r="P270" s="2"/>
      <c r="Q270" s="2"/>
      <c r="R270" s="2"/>
      <c r="S270" s="2"/>
      <c r="T270" s="2"/>
      <c r="U270" s="2"/>
      <c r="V270" s="2"/>
      <c r="W270" s="2"/>
      <c r="AB270" s="2"/>
      <c r="AC270" s="2"/>
      <c r="AD270" s="2"/>
      <c r="AE270" s="2"/>
      <c r="AF270" s="2"/>
      <c r="AG270" s="2"/>
      <c r="AH270" s="2"/>
      <c r="AI270" s="2"/>
      <c r="AJ270" s="2"/>
      <c r="AK270" s="2"/>
    </row>
    <row r="271" spans="2:37" ht="16.5" customHeight="1">
      <c r="B271" s="204" t="s">
        <v>176</v>
      </c>
      <c r="C271" s="2"/>
      <c r="D271" s="2"/>
      <c r="E271" s="2"/>
      <c r="F271" s="2"/>
      <c r="G271" s="2"/>
      <c r="H271" s="2"/>
      <c r="I271" s="2"/>
      <c r="J271" s="2"/>
      <c r="K271" s="2"/>
      <c r="L271" s="2"/>
      <c r="M271" s="2"/>
      <c r="N271" s="2"/>
      <c r="O271" s="2"/>
      <c r="P271" s="2"/>
      <c r="Q271" s="2"/>
      <c r="R271" s="2"/>
      <c r="S271" s="2"/>
      <c r="T271" s="2"/>
      <c r="U271" s="2"/>
      <c r="V271" s="2"/>
      <c r="W271" s="2"/>
      <c r="AB271" s="2"/>
      <c r="AC271" s="2"/>
      <c r="AD271" s="2"/>
      <c r="AE271" s="2"/>
      <c r="AF271" s="2"/>
      <c r="AG271" s="2"/>
      <c r="AH271" s="2"/>
      <c r="AI271" s="2"/>
      <c r="AJ271" s="2"/>
      <c r="AK271" s="2"/>
    </row>
    <row r="272" spans="2:37">
      <c r="M272" s="2"/>
      <c r="N272" s="2"/>
      <c r="O272" s="2"/>
      <c r="P272" s="2"/>
      <c r="Q272" s="2"/>
      <c r="R272" s="2"/>
      <c r="S272" s="2"/>
      <c r="T272" s="2"/>
      <c r="U272" s="2"/>
      <c r="V272" s="2"/>
      <c r="W272" s="2"/>
      <c r="AB272" s="2"/>
      <c r="AC272" s="2"/>
      <c r="AD272" s="2"/>
      <c r="AE272" s="2"/>
      <c r="AF272" s="2"/>
      <c r="AG272" s="2"/>
      <c r="AH272" s="2"/>
      <c r="AI272" s="2"/>
      <c r="AJ272" s="2"/>
      <c r="AK272" s="2"/>
    </row>
    <row r="273" spans="2:37">
      <c r="M273" s="2"/>
      <c r="N273" s="2"/>
      <c r="O273" s="2"/>
      <c r="P273" s="2"/>
      <c r="Q273" s="2"/>
      <c r="R273" s="2"/>
      <c r="S273" s="2"/>
      <c r="T273" s="2"/>
      <c r="U273" s="2"/>
      <c r="V273" s="2"/>
      <c r="W273" s="2"/>
      <c r="AB273" s="2"/>
      <c r="AC273" s="2"/>
      <c r="AD273" s="2"/>
      <c r="AE273" s="2"/>
      <c r="AF273" s="2"/>
      <c r="AG273" s="2"/>
      <c r="AH273" s="2"/>
      <c r="AI273" s="2"/>
      <c r="AJ273" s="2"/>
      <c r="AK273" s="2"/>
    </row>
    <row r="274" spans="2:37">
      <c r="M274" s="2"/>
      <c r="N274" s="2"/>
      <c r="O274" s="2"/>
      <c r="P274" s="2"/>
      <c r="Q274" s="2"/>
      <c r="R274" s="2"/>
      <c r="S274" s="2"/>
      <c r="T274" s="2"/>
      <c r="U274" s="2"/>
      <c r="V274" s="2"/>
      <c r="W274" s="2"/>
      <c r="AB274" s="2"/>
      <c r="AC274" s="2"/>
      <c r="AD274" s="2"/>
      <c r="AE274" s="2"/>
      <c r="AF274" s="2"/>
      <c r="AG274" s="2"/>
      <c r="AH274" s="2"/>
      <c r="AI274" s="2"/>
      <c r="AJ274" s="2"/>
      <c r="AK274" s="2"/>
    </row>
    <row r="275" spans="2:37">
      <c r="M275" s="2"/>
      <c r="N275" s="2"/>
      <c r="O275" s="2"/>
      <c r="P275" s="2"/>
      <c r="Q275" s="2"/>
      <c r="R275" s="2"/>
      <c r="S275" s="2"/>
      <c r="T275" s="2"/>
      <c r="U275" s="2"/>
      <c r="V275" s="2"/>
      <c r="W275" s="2"/>
      <c r="AB275" s="2"/>
      <c r="AC275" s="2"/>
      <c r="AD275" s="2"/>
      <c r="AE275" s="2"/>
      <c r="AF275" s="2"/>
      <c r="AG275" s="2"/>
      <c r="AH275" s="2"/>
      <c r="AI275" s="2"/>
      <c r="AJ275" s="2"/>
      <c r="AK275" s="2"/>
    </row>
    <row r="276" spans="2:37">
      <c r="M276" s="2"/>
      <c r="N276" s="2"/>
      <c r="O276" s="2"/>
      <c r="P276" s="2"/>
      <c r="Q276" s="2"/>
      <c r="R276" s="2"/>
      <c r="S276" s="2"/>
      <c r="T276" s="2"/>
      <c r="U276" s="2"/>
      <c r="V276" s="2"/>
      <c r="W276" s="2"/>
      <c r="AB276" s="2"/>
      <c r="AC276" s="2"/>
      <c r="AD276" s="2"/>
      <c r="AE276" s="2"/>
      <c r="AF276" s="2"/>
      <c r="AG276" s="2"/>
      <c r="AH276" s="2"/>
      <c r="AI276" s="2"/>
      <c r="AJ276" s="2"/>
      <c r="AK276" s="2"/>
    </row>
    <row r="277" spans="2:37" ht="6.75" customHeight="1">
      <c r="M277" s="2"/>
      <c r="N277" s="2"/>
      <c r="O277" s="2"/>
      <c r="P277" s="2"/>
      <c r="Q277" s="2"/>
      <c r="R277" s="2"/>
      <c r="S277" s="2"/>
      <c r="T277" s="2"/>
      <c r="U277" s="2"/>
      <c r="V277" s="2"/>
      <c r="W277" s="2"/>
      <c r="AB277" s="2"/>
      <c r="AC277" s="2"/>
      <c r="AD277" s="2"/>
      <c r="AE277" s="2"/>
      <c r="AF277" s="2"/>
      <c r="AG277" s="2"/>
      <c r="AH277" s="2"/>
      <c r="AI277" s="2"/>
      <c r="AJ277" s="2"/>
      <c r="AK277" s="2"/>
    </row>
    <row r="278" spans="2:37">
      <c r="M278" s="2"/>
      <c r="N278" s="2"/>
      <c r="O278" s="2"/>
      <c r="P278" s="2"/>
      <c r="Q278" s="2"/>
      <c r="R278" s="2"/>
      <c r="S278" s="2"/>
      <c r="T278" s="2"/>
      <c r="U278" s="2"/>
      <c r="V278" s="2"/>
      <c r="W278" s="2"/>
      <c r="X278" s="2"/>
      <c r="Y278" s="165"/>
      <c r="Z278" s="165"/>
      <c r="AA278" s="165"/>
      <c r="AB278" s="2"/>
      <c r="AC278" s="2"/>
      <c r="AD278" s="2"/>
      <c r="AE278" s="2"/>
      <c r="AF278" s="2"/>
      <c r="AG278" s="2"/>
      <c r="AH278" s="2"/>
      <c r="AI278" s="2"/>
      <c r="AJ278" s="2"/>
      <c r="AK278" s="2"/>
    </row>
    <row r="279" spans="2:37" ht="6.75" customHeight="1">
      <c r="M279" s="2"/>
      <c r="N279" s="2"/>
      <c r="O279" s="2"/>
      <c r="P279" s="2"/>
      <c r="Q279" s="2"/>
      <c r="R279" s="2"/>
      <c r="S279" s="2"/>
      <c r="T279" s="2"/>
      <c r="U279" s="2"/>
      <c r="V279" s="2"/>
      <c r="W279" s="2"/>
      <c r="X279" s="2"/>
      <c r="Y279" s="165"/>
      <c r="Z279" s="165"/>
      <c r="AA279" s="165"/>
      <c r="AB279" s="2"/>
      <c r="AC279" s="2"/>
      <c r="AD279" s="2"/>
      <c r="AE279" s="2"/>
      <c r="AF279" s="2"/>
      <c r="AG279" s="2"/>
      <c r="AH279" s="2"/>
      <c r="AI279" s="2"/>
      <c r="AJ279" s="2"/>
      <c r="AK279" s="2"/>
    </row>
    <row r="280" spans="2:37">
      <c r="M280" s="2"/>
      <c r="N280" s="2"/>
      <c r="O280" s="2"/>
      <c r="P280" s="2"/>
      <c r="Q280" s="2"/>
      <c r="R280" s="2"/>
      <c r="S280" s="2"/>
      <c r="T280" s="2"/>
      <c r="U280" s="2"/>
      <c r="V280" s="2"/>
      <c r="W280" s="2"/>
      <c r="Z280" s="2"/>
      <c r="AA280" s="2"/>
      <c r="AB280" s="2"/>
      <c r="AC280" s="2"/>
      <c r="AD280" s="2"/>
      <c r="AE280" s="2"/>
      <c r="AF280" s="2"/>
      <c r="AG280" s="2"/>
      <c r="AH280" s="2"/>
      <c r="AI280" s="2"/>
      <c r="AJ280" s="2"/>
      <c r="AK280" s="2"/>
    </row>
    <row r="281" spans="2:37">
      <c r="B281" s="2"/>
      <c r="C281" s="2"/>
      <c r="D281" s="2"/>
      <c r="E281" s="2"/>
      <c r="F281" s="2"/>
      <c r="G281" s="2"/>
      <c r="H281" s="2"/>
      <c r="I281" s="2"/>
      <c r="J281" s="2"/>
      <c r="K281" s="2"/>
      <c r="L281" s="2"/>
      <c r="M281" s="2"/>
      <c r="N281" s="2"/>
      <c r="O281" s="2"/>
      <c r="P281" s="2"/>
      <c r="Q281" s="2"/>
      <c r="R281" s="2"/>
      <c r="S281" s="2"/>
      <c r="T281" s="2"/>
      <c r="U281" s="2"/>
      <c r="V281" s="2"/>
      <c r="W281" s="2"/>
      <c r="Z281" s="2"/>
      <c r="AA281" s="2"/>
      <c r="AB281" s="2"/>
      <c r="AC281" s="2"/>
      <c r="AD281" s="2"/>
      <c r="AE281" s="2"/>
      <c r="AF281" s="2"/>
      <c r="AG281" s="2"/>
      <c r="AH281" s="2"/>
      <c r="AI281" s="2"/>
      <c r="AJ281" s="2"/>
      <c r="AK281" s="2"/>
    </row>
    <row r="282" spans="2:37">
      <c r="B282" s="2"/>
      <c r="C282" s="2"/>
      <c r="D282" s="2"/>
      <c r="E282" s="2"/>
      <c r="F282" s="2"/>
      <c r="G282" s="2"/>
      <c r="H282" s="2"/>
      <c r="I282" s="2"/>
      <c r="J282" s="2"/>
      <c r="K282" s="2"/>
      <c r="L282" s="2"/>
      <c r="M282" s="2"/>
      <c r="N282" s="2"/>
      <c r="O282" s="2"/>
      <c r="P282" s="2"/>
      <c r="Q282" s="2"/>
      <c r="R282" s="2"/>
      <c r="S282" s="2"/>
      <c r="T282" s="2"/>
      <c r="U282" s="2"/>
      <c r="V282" s="2"/>
      <c r="W282" s="2"/>
      <c r="Z282" s="2"/>
      <c r="AA282" s="2"/>
      <c r="AB282" s="2"/>
      <c r="AC282" s="2"/>
      <c r="AD282" s="2"/>
      <c r="AE282" s="2"/>
      <c r="AF282" s="2"/>
      <c r="AG282" s="2"/>
      <c r="AH282" s="2"/>
      <c r="AI282" s="2"/>
      <c r="AJ282" s="2"/>
      <c r="AK282" s="2"/>
    </row>
    <row r="283" spans="2:37">
      <c r="B283" s="2"/>
      <c r="C283" s="2"/>
      <c r="D283" s="2"/>
      <c r="E283" s="2"/>
      <c r="F283" s="2"/>
      <c r="G283" s="2"/>
      <c r="H283" s="2"/>
      <c r="I283" s="2"/>
      <c r="J283" s="2"/>
      <c r="K283" s="2"/>
      <c r="L283" s="2"/>
      <c r="M283" s="2"/>
      <c r="N283" s="2"/>
      <c r="O283" s="2" t="s">
        <v>31</v>
      </c>
      <c r="P283" s="2"/>
      <c r="Q283" s="2"/>
      <c r="R283" s="2"/>
      <c r="S283" s="2"/>
      <c r="T283" s="2"/>
      <c r="U283" s="2"/>
      <c r="V283" s="2"/>
      <c r="W283" s="2"/>
      <c r="Z283" s="2"/>
      <c r="AA283" s="2"/>
      <c r="AB283" s="2"/>
      <c r="AC283" s="2"/>
      <c r="AD283" s="2"/>
      <c r="AE283" s="2"/>
      <c r="AF283" s="2"/>
      <c r="AG283" s="2"/>
      <c r="AH283" s="2"/>
      <c r="AI283" s="2"/>
      <c r="AJ283" s="2"/>
      <c r="AK283" s="2"/>
    </row>
    <row r="284" spans="2:37">
      <c r="B284" s="2"/>
      <c r="C284" s="2"/>
      <c r="D284" s="2"/>
      <c r="E284" s="2"/>
      <c r="F284" s="2"/>
      <c r="G284" s="2"/>
      <c r="H284" s="2"/>
      <c r="I284" s="2"/>
      <c r="J284" s="2"/>
      <c r="K284" s="2"/>
      <c r="L284" s="2"/>
      <c r="M284" s="2"/>
      <c r="N284" s="2"/>
      <c r="O284" s="2"/>
      <c r="P284" s="82" t="str">
        <f>D4</f>
        <v>2023-2024</v>
      </c>
      <c r="Q284" s="82" t="str">
        <f>F4</f>
        <v>2024-2025</v>
      </c>
      <c r="R284" s="82" t="str">
        <f>I4</f>
        <v>2025-2026</v>
      </c>
      <c r="S284" s="2"/>
      <c r="T284" s="2"/>
      <c r="U284" s="2"/>
      <c r="V284" s="2"/>
      <c r="W284" s="2"/>
      <c r="Z284" s="2"/>
      <c r="AA284" s="2"/>
      <c r="AB284" s="2"/>
      <c r="AC284" s="2"/>
      <c r="AD284" s="2"/>
      <c r="AE284" s="2"/>
      <c r="AF284" s="2"/>
      <c r="AG284" s="2"/>
      <c r="AH284" s="2"/>
      <c r="AI284" s="2"/>
      <c r="AJ284" s="2"/>
      <c r="AK284" s="2"/>
    </row>
    <row r="285" spans="2:37">
      <c r="B285" s="2"/>
      <c r="C285" s="2"/>
      <c r="D285" s="2"/>
      <c r="E285" s="2"/>
      <c r="F285" s="2"/>
      <c r="G285" s="2"/>
      <c r="H285" s="2"/>
      <c r="I285" s="2"/>
      <c r="J285" s="2"/>
      <c r="K285" s="2"/>
      <c r="L285" s="2"/>
      <c r="M285" s="2"/>
      <c r="N285" s="2"/>
      <c r="O285" s="140" t="str">
        <f t="shared" ref="O285:O292" si="56">IF(AND($D258&lt;=0,$F258&lt;=0,$I258&lt;=0),"",$B258)</f>
        <v>Instruction</v>
      </c>
      <c r="P285" s="207">
        <f t="shared" ref="P285:P292" si="57">IF(AND($D258&lt;=0,$F258&lt;=0,$I258&lt;=0),#N/A,IF($D258&lt;=0,0,$D258))</f>
        <v>157021</v>
      </c>
      <c r="Q285" s="207">
        <f t="shared" ref="Q285:Q292" si="58">IF(AND($D258&lt;=0,$F258&lt;=0,$I258&lt;=0),#N/A,IF($F258&lt;=0,0,$F258))</f>
        <v>96625</v>
      </c>
      <c r="R285" s="207">
        <f t="shared" ref="R285:R292" si="59">IF(AND($D258&lt;=0,$F258&lt;=0,$I258&lt;=0),#N/A,IF($I258&lt;=0,0,$I258))</f>
        <v>275168</v>
      </c>
      <c r="S285" s="2"/>
      <c r="T285" s="2"/>
      <c r="U285" s="2"/>
      <c r="V285" s="2"/>
      <c r="W285" s="2"/>
      <c r="Z285" s="2"/>
      <c r="AA285" s="2"/>
      <c r="AB285" s="2"/>
      <c r="AC285" s="2"/>
      <c r="AD285" s="2"/>
      <c r="AE285" s="2"/>
      <c r="AF285" s="2"/>
      <c r="AG285" s="2"/>
      <c r="AH285" s="2"/>
      <c r="AI285" s="2"/>
      <c r="AJ285" s="2"/>
      <c r="AK285" s="2"/>
    </row>
    <row r="286" spans="2:37">
      <c r="B286" s="2"/>
      <c r="C286" s="2"/>
      <c r="D286" s="2"/>
      <c r="E286" s="2"/>
      <c r="F286" s="2"/>
      <c r="G286" s="2"/>
      <c r="H286" s="2"/>
      <c r="I286" s="2"/>
      <c r="J286" s="2"/>
      <c r="K286" s="2"/>
      <c r="L286" s="2"/>
      <c r="M286" s="2"/>
      <c r="N286" s="2"/>
      <c r="O286" s="140" t="str">
        <f t="shared" si="56"/>
        <v/>
      </c>
      <c r="P286" s="207" t="e">
        <f t="shared" si="57"/>
        <v>#N/A</v>
      </c>
      <c r="Q286" s="207" t="e">
        <f t="shared" si="58"/>
        <v>#N/A</v>
      </c>
      <c r="R286" s="207" t="e">
        <f t="shared" si="59"/>
        <v>#N/A</v>
      </c>
      <c r="S286" s="2"/>
      <c r="T286" s="2"/>
      <c r="U286" s="2"/>
      <c r="V286" s="2"/>
      <c r="W286" s="2"/>
      <c r="Z286" s="2"/>
      <c r="AA286" s="2"/>
      <c r="AB286" s="2"/>
      <c r="AC286" s="2"/>
      <c r="AD286" s="2"/>
      <c r="AE286" s="2"/>
      <c r="AF286" s="2"/>
      <c r="AG286" s="2"/>
      <c r="AH286" s="2"/>
      <c r="AI286" s="2"/>
      <c r="AJ286" s="2"/>
      <c r="AK286" s="2"/>
    </row>
    <row r="287" spans="2:37">
      <c r="B287" s="2"/>
      <c r="C287" s="2"/>
      <c r="D287" s="2"/>
      <c r="E287" s="2"/>
      <c r="F287" s="2"/>
      <c r="G287" s="2"/>
      <c r="H287" s="2"/>
      <c r="I287" s="2"/>
      <c r="J287" s="2"/>
      <c r="K287" s="2"/>
      <c r="L287" s="2"/>
      <c r="M287" s="2"/>
      <c r="N287" s="2"/>
      <c r="O287" s="140" t="str">
        <f t="shared" si="56"/>
        <v/>
      </c>
      <c r="P287" s="207" t="e">
        <f t="shared" si="57"/>
        <v>#N/A</v>
      </c>
      <c r="Q287" s="207" t="e">
        <f t="shared" si="58"/>
        <v>#N/A</v>
      </c>
      <c r="R287" s="207" t="e">
        <f t="shared" si="59"/>
        <v>#N/A</v>
      </c>
      <c r="S287" s="2"/>
      <c r="T287" s="2"/>
      <c r="U287" s="2"/>
      <c r="V287" s="2"/>
      <c r="W287" s="2"/>
      <c r="Z287" s="2"/>
      <c r="AA287" s="2"/>
      <c r="AB287" s="2"/>
      <c r="AC287" s="2"/>
      <c r="AD287" s="2"/>
      <c r="AE287" s="2"/>
      <c r="AF287" s="2"/>
      <c r="AG287" s="2"/>
      <c r="AH287" s="2"/>
      <c r="AI287" s="2"/>
      <c r="AJ287" s="2"/>
      <c r="AK287" s="2"/>
    </row>
    <row r="288" spans="2:37">
      <c r="B288" s="2"/>
      <c r="C288" s="2"/>
      <c r="D288" s="2"/>
      <c r="E288" s="2"/>
      <c r="F288" s="2"/>
      <c r="G288" s="2"/>
      <c r="H288" s="2"/>
      <c r="I288" s="2"/>
      <c r="J288" s="2"/>
      <c r="K288" s="2"/>
      <c r="L288" s="2"/>
      <c r="M288" s="2"/>
      <c r="N288" s="2"/>
      <c r="O288" s="140" t="str">
        <f t="shared" si="56"/>
        <v/>
      </c>
      <c r="P288" s="207" t="e">
        <f t="shared" si="57"/>
        <v>#N/A</v>
      </c>
      <c r="Q288" s="207" t="e">
        <f t="shared" si="58"/>
        <v>#N/A</v>
      </c>
      <c r="R288" s="207" t="e">
        <f t="shared" si="59"/>
        <v>#N/A</v>
      </c>
      <c r="S288" s="2"/>
      <c r="T288" s="2"/>
      <c r="U288" s="2"/>
      <c r="V288" s="2"/>
      <c r="W288" s="2"/>
      <c r="Z288" s="2"/>
      <c r="AA288" s="2"/>
      <c r="AB288" s="2"/>
      <c r="AC288" s="2"/>
      <c r="AD288" s="2"/>
      <c r="AE288" s="2"/>
      <c r="AF288" s="2"/>
      <c r="AG288" s="2"/>
      <c r="AH288" s="2"/>
      <c r="AI288" s="2"/>
      <c r="AJ288" s="2"/>
      <c r="AK288" s="2"/>
    </row>
    <row r="289" spans="2:37">
      <c r="B289" s="2"/>
      <c r="C289" s="2"/>
      <c r="D289" s="2"/>
      <c r="E289" s="2"/>
      <c r="F289" s="2"/>
      <c r="G289" s="2"/>
      <c r="H289" s="2"/>
      <c r="I289" s="2"/>
      <c r="J289" s="2"/>
      <c r="K289" s="2"/>
      <c r="L289" s="2"/>
      <c r="M289" s="2"/>
      <c r="N289" s="2"/>
      <c r="O289" s="140" t="str">
        <f t="shared" si="56"/>
        <v/>
      </c>
      <c r="P289" s="207" t="e">
        <f t="shared" si="57"/>
        <v>#N/A</v>
      </c>
      <c r="Q289" s="207" t="e">
        <f t="shared" si="58"/>
        <v>#N/A</v>
      </c>
      <c r="R289" s="207" t="e">
        <f t="shared" si="59"/>
        <v>#N/A</v>
      </c>
      <c r="S289" s="2"/>
      <c r="T289" s="2"/>
      <c r="U289" s="2"/>
      <c r="V289" s="2"/>
      <c r="W289" s="2"/>
      <c r="X289" s="2"/>
      <c r="Y289" s="2"/>
      <c r="Z289" s="2"/>
      <c r="AA289" s="2"/>
      <c r="AB289" s="2"/>
      <c r="AC289" s="2"/>
      <c r="AD289" s="2"/>
      <c r="AE289" s="2"/>
      <c r="AF289" s="2"/>
      <c r="AG289" s="2"/>
      <c r="AH289" s="2"/>
      <c r="AI289" s="2"/>
      <c r="AJ289" s="2"/>
      <c r="AK289" s="2"/>
    </row>
    <row r="290" spans="2:37">
      <c r="B290" s="2"/>
      <c r="C290" s="2"/>
      <c r="D290" s="2"/>
      <c r="E290" s="2"/>
      <c r="F290" s="2"/>
      <c r="G290" s="2"/>
      <c r="H290" s="2"/>
      <c r="I290" s="2"/>
      <c r="J290" s="2"/>
      <c r="K290" s="2"/>
      <c r="L290" s="2"/>
      <c r="M290" s="2"/>
      <c r="N290" s="2"/>
      <c r="O290" s="140" t="str">
        <f t="shared" si="56"/>
        <v/>
      </c>
      <c r="P290" s="207" t="e">
        <f t="shared" si="57"/>
        <v>#N/A</v>
      </c>
      <c r="Q290" s="207" t="e">
        <f t="shared" si="58"/>
        <v>#N/A</v>
      </c>
      <c r="R290" s="207" t="e">
        <f t="shared" si="59"/>
        <v>#N/A</v>
      </c>
      <c r="S290" s="2"/>
      <c r="T290" s="2"/>
      <c r="U290" s="2"/>
      <c r="V290" s="2"/>
      <c r="W290" s="2"/>
      <c r="X290" s="2"/>
      <c r="Y290" s="2"/>
      <c r="Z290" s="2"/>
      <c r="AA290" s="2"/>
      <c r="AB290" s="315"/>
      <c r="AC290" s="2"/>
      <c r="AD290" s="2"/>
      <c r="AE290" s="2"/>
      <c r="AF290" s="2"/>
      <c r="AG290" s="2"/>
      <c r="AH290" s="2"/>
      <c r="AI290" s="2"/>
      <c r="AJ290" s="2"/>
      <c r="AK290" s="2"/>
    </row>
    <row r="291" spans="2:37">
      <c r="B291" s="2"/>
      <c r="C291" s="2"/>
      <c r="D291" s="2"/>
      <c r="E291" s="2"/>
      <c r="F291" s="2"/>
      <c r="G291" s="2"/>
      <c r="H291" s="2"/>
      <c r="I291" s="2"/>
      <c r="J291" s="2"/>
      <c r="K291" s="2"/>
      <c r="L291" s="2"/>
      <c r="M291" s="2"/>
      <c r="N291" s="2"/>
      <c r="O291" s="140" t="str">
        <f t="shared" si="56"/>
        <v/>
      </c>
      <c r="P291" s="207" t="e">
        <f t="shared" si="57"/>
        <v>#N/A</v>
      </c>
      <c r="Q291" s="207" t="e">
        <f t="shared" si="58"/>
        <v>#N/A</v>
      </c>
      <c r="R291" s="207" t="e">
        <f t="shared" si="59"/>
        <v>#N/A</v>
      </c>
      <c r="S291" s="2"/>
      <c r="T291" s="2"/>
      <c r="U291" s="2"/>
      <c r="V291" s="2"/>
      <c r="W291" s="2"/>
      <c r="X291" s="2"/>
      <c r="Y291" s="2"/>
      <c r="Z291" s="2"/>
      <c r="AA291" s="2"/>
      <c r="AB291" s="2"/>
      <c r="AC291" s="2"/>
      <c r="AD291" s="2"/>
      <c r="AE291" s="2"/>
      <c r="AF291" s="2"/>
      <c r="AG291" s="2"/>
      <c r="AH291" s="2"/>
      <c r="AI291" s="2"/>
      <c r="AJ291" s="2"/>
      <c r="AK291" s="2"/>
    </row>
    <row r="292" spans="2:37">
      <c r="B292" s="2"/>
      <c r="C292" s="2"/>
      <c r="D292" s="2"/>
      <c r="E292" s="2"/>
      <c r="F292" s="2"/>
      <c r="G292" s="2"/>
      <c r="H292" s="2"/>
      <c r="I292" s="2"/>
      <c r="J292" s="2"/>
      <c r="K292" s="2"/>
      <c r="L292" s="2"/>
      <c r="M292" s="2"/>
      <c r="N292" s="2"/>
      <c r="O292" s="140" t="str">
        <f t="shared" si="56"/>
        <v/>
      </c>
      <c r="P292" s="207" t="e">
        <f t="shared" si="57"/>
        <v>#N/A</v>
      </c>
      <c r="Q292" s="207" t="e">
        <f t="shared" si="58"/>
        <v>#N/A</v>
      </c>
      <c r="R292" s="207" t="e">
        <f t="shared" si="59"/>
        <v>#N/A</v>
      </c>
      <c r="S292" s="2"/>
      <c r="T292" s="2"/>
      <c r="U292" s="2"/>
      <c r="V292" s="2"/>
      <c r="W292" s="2"/>
      <c r="X292" s="2"/>
      <c r="Y292" s="165"/>
      <c r="Z292" s="2"/>
      <c r="AA292" s="2"/>
      <c r="AB292" s="2"/>
      <c r="AC292" s="2"/>
      <c r="AD292" s="2"/>
      <c r="AE292" s="2"/>
      <c r="AF292" s="2"/>
      <c r="AG292" s="2"/>
      <c r="AH292" s="2"/>
      <c r="AI292" s="2"/>
      <c r="AJ292" s="2"/>
      <c r="AK292" s="2"/>
    </row>
    <row r="293" spans="2:37">
      <c r="B293" s="2"/>
      <c r="C293" s="2"/>
      <c r="D293" s="2"/>
      <c r="E293" s="2"/>
      <c r="F293" s="2"/>
      <c r="G293" s="2"/>
      <c r="H293" s="2"/>
      <c r="I293" s="2"/>
      <c r="J293" s="2"/>
      <c r="K293" s="2"/>
      <c r="L293" s="2"/>
      <c r="M293" s="2"/>
      <c r="N293" s="2"/>
      <c r="O293" s="2"/>
      <c r="P293" s="2"/>
      <c r="Q293" s="2"/>
      <c r="R293" s="2"/>
      <c r="S293" s="2"/>
      <c r="T293" s="2"/>
      <c r="U293" s="2"/>
      <c r="V293" s="2"/>
      <c r="W293" s="2"/>
      <c r="X293" s="2"/>
      <c r="Y293" s="2"/>
      <c r="Z293" s="2"/>
      <c r="AA293" s="2"/>
      <c r="AB293" s="2"/>
      <c r="AC293" s="2"/>
      <c r="AD293" s="2"/>
      <c r="AE293" s="2"/>
      <c r="AF293" s="2"/>
      <c r="AG293" s="2"/>
      <c r="AH293" s="2"/>
      <c r="AI293" s="2"/>
      <c r="AJ293" s="2"/>
      <c r="AK293" s="2"/>
    </row>
    <row r="294" spans="2:37">
      <c r="B294" s="2"/>
      <c r="C294" s="2"/>
      <c r="D294" s="2"/>
      <c r="E294" s="2"/>
      <c r="F294" s="2"/>
      <c r="G294" s="2"/>
      <c r="H294" s="2"/>
      <c r="I294" s="2"/>
      <c r="J294" s="2"/>
      <c r="K294" s="2"/>
      <c r="L294" s="2"/>
      <c r="M294" s="2"/>
      <c r="N294" s="2"/>
      <c r="O294" s="2"/>
      <c r="P294" s="2"/>
      <c r="Q294" s="2"/>
      <c r="R294" s="2"/>
      <c r="S294" s="2"/>
      <c r="T294" s="2"/>
      <c r="U294" s="2"/>
      <c r="V294" s="2"/>
      <c r="W294" s="2"/>
      <c r="X294" s="2"/>
      <c r="Y294" s="2"/>
      <c r="Z294" s="2"/>
      <c r="AA294" s="2"/>
      <c r="AB294" s="2"/>
      <c r="AC294" s="2"/>
      <c r="AD294" s="2"/>
      <c r="AE294" s="2"/>
      <c r="AF294" s="2"/>
      <c r="AG294" s="2"/>
      <c r="AH294" s="2"/>
      <c r="AI294" s="2"/>
      <c r="AJ294" s="2"/>
      <c r="AK294" s="2"/>
    </row>
    <row r="295" spans="2:37">
      <c r="B295" s="2"/>
      <c r="C295" s="2"/>
      <c r="D295" s="2"/>
      <c r="E295" s="2"/>
      <c r="F295" s="2"/>
      <c r="G295" s="2"/>
      <c r="H295" s="2"/>
      <c r="I295" s="2"/>
      <c r="J295" s="2"/>
      <c r="K295" s="2"/>
      <c r="L295" s="2"/>
      <c r="M295" s="2"/>
      <c r="N295" s="2"/>
      <c r="O295" s="2"/>
      <c r="P295" s="2"/>
      <c r="Q295" s="2"/>
      <c r="R295" s="2"/>
      <c r="S295" s="2"/>
      <c r="T295" s="2"/>
      <c r="U295" s="2"/>
      <c r="V295" s="2"/>
      <c r="W295" s="2"/>
      <c r="X295" s="315"/>
      <c r="Y295" s="315"/>
      <c r="Z295" s="315"/>
      <c r="AA295" s="315"/>
      <c r="AB295" s="315"/>
      <c r="AC295" s="2"/>
      <c r="AD295" s="2"/>
      <c r="AE295" s="2"/>
      <c r="AF295" s="2"/>
      <c r="AG295" s="2"/>
      <c r="AH295" s="2"/>
      <c r="AI295" s="2"/>
      <c r="AJ295" s="2"/>
      <c r="AK295" s="2"/>
    </row>
    <row r="296" spans="2:37">
      <c r="B296" s="2"/>
      <c r="C296" s="2"/>
      <c r="D296" s="2"/>
      <c r="E296" s="2"/>
      <c r="F296" s="2"/>
      <c r="G296" s="2"/>
      <c r="H296" s="2"/>
      <c r="I296" s="2"/>
      <c r="J296" s="2"/>
      <c r="K296" s="2"/>
      <c r="L296" s="2"/>
      <c r="M296" s="2"/>
      <c r="N296" s="2"/>
      <c r="O296" s="2"/>
      <c r="P296" s="2"/>
      <c r="Q296" s="2"/>
      <c r="R296" s="2"/>
      <c r="S296" s="2"/>
      <c r="T296" s="2"/>
      <c r="U296" s="2"/>
      <c r="V296" s="2"/>
      <c r="W296" s="2"/>
      <c r="X296" s="2"/>
      <c r="Y296" s="2"/>
      <c r="Z296" s="2"/>
      <c r="AA296" s="2"/>
      <c r="AB296" s="2"/>
      <c r="AC296" s="2"/>
      <c r="AD296" s="2"/>
      <c r="AE296" s="2"/>
      <c r="AF296" s="2"/>
      <c r="AG296" s="2"/>
      <c r="AH296" s="2"/>
      <c r="AI296" s="2"/>
      <c r="AJ296" s="2"/>
      <c r="AK296" s="2"/>
    </row>
    <row r="297" spans="2:37">
      <c r="B297" s="2"/>
      <c r="C297" s="2"/>
      <c r="D297" s="2"/>
      <c r="E297" s="2"/>
      <c r="F297" s="2"/>
      <c r="G297" s="2"/>
      <c r="H297" s="2"/>
      <c r="I297" s="2"/>
      <c r="J297" s="2"/>
      <c r="K297" s="2"/>
      <c r="L297" s="2"/>
      <c r="M297" s="2"/>
      <c r="N297" s="2"/>
      <c r="O297" s="59" t="s">
        <v>29</v>
      </c>
      <c r="P297" s="82" t="str">
        <f>I4</f>
        <v>2025-2026</v>
      </c>
      <c r="Q297" s="2"/>
      <c r="R297" s="2"/>
      <c r="S297" s="2"/>
      <c r="T297" s="2"/>
      <c r="U297" s="2"/>
      <c r="V297" s="2"/>
      <c r="W297" s="2"/>
      <c r="X297" s="2"/>
      <c r="Y297" s="2"/>
      <c r="Z297" s="2"/>
      <c r="AA297" s="2"/>
      <c r="AB297" s="2"/>
      <c r="AC297" s="2"/>
      <c r="AD297" s="2"/>
      <c r="AE297" s="2"/>
      <c r="AF297" s="2"/>
      <c r="AG297" s="2"/>
      <c r="AH297" s="2"/>
      <c r="AI297" s="2"/>
      <c r="AJ297" s="2"/>
      <c r="AK297" s="2"/>
    </row>
    <row r="298" spans="2:37">
      <c r="B298" s="2"/>
      <c r="C298" s="2"/>
      <c r="D298" s="2"/>
      <c r="E298" s="2"/>
      <c r="F298" s="2"/>
      <c r="G298" s="2"/>
      <c r="H298" s="2"/>
      <c r="I298" s="2"/>
      <c r="J298" s="2"/>
      <c r="K298" s="2"/>
      <c r="L298" s="2"/>
      <c r="M298" s="2"/>
      <c r="N298" s="2"/>
      <c r="O298" s="140" t="str">
        <f t="shared" ref="O298:O304" si="60">$B258&amp;": "&amp;IFERROR(IF(I258/$I$266&gt;=0.01,P298*100,IF(AND(I258/$I$266&lt;0.01,I258/$I$266&gt;0),LEFT(J258,2),0)),0)&amp;"%"</f>
        <v>Instruction: 100%</v>
      </c>
      <c r="P298" s="210">
        <f t="shared" ref="P298:P304" si="61">IF(I258/$I$266&lt;0.01,#N/A,$J258)</f>
        <v>1</v>
      </c>
      <c r="Q298" s="140" t="str">
        <f t="shared" ref="Q298:Q304" si="62">LEFT(O298,(FIND(":",O298)-1))</f>
        <v>Instruction</v>
      </c>
      <c r="R298" s="2"/>
      <c r="S298" s="2"/>
      <c r="T298" s="2"/>
      <c r="U298" s="2"/>
      <c r="V298" s="2"/>
      <c r="W298" s="2"/>
      <c r="X298" s="2"/>
      <c r="Y298" s="2"/>
      <c r="Z298" s="2"/>
      <c r="AA298" s="2"/>
      <c r="AB298" s="2"/>
      <c r="AC298" s="2"/>
      <c r="AD298" s="2"/>
      <c r="AE298" s="2"/>
      <c r="AF298" s="2"/>
      <c r="AG298" s="2"/>
      <c r="AH298" s="2"/>
      <c r="AI298" s="2"/>
      <c r="AJ298" s="2"/>
      <c r="AK298" s="2"/>
    </row>
    <row r="299" spans="2:37">
      <c r="B299" s="2"/>
      <c r="C299" s="2"/>
      <c r="D299" s="2"/>
      <c r="E299" s="2"/>
      <c r="F299" s="2"/>
      <c r="G299" s="2"/>
      <c r="H299" s="2"/>
      <c r="I299" s="2"/>
      <c r="J299" s="2"/>
      <c r="K299" s="2"/>
      <c r="L299" s="2"/>
      <c r="M299" s="2"/>
      <c r="N299" s="2"/>
      <c r="O299" s="140" t="str">
        <f t="shared" si="60"/>
        <v>Student Support: 0%</v>
      </c>
      <c r="P299" s="210" t="e">
        <f t="shared" si="61"/>
        <v>#N/A</v>
      </c>
      <c r="Q299" s="140" t="str">
        <f t="shared" si="62"/>
        <v>Student Support</v>
      </c>
      <c r="R299" s="2"/>
      <c r="S299" s="2"/>
      <c r="T299" s="2"/>
      <c r="U299" s="2"/>
      <c r="V299" s="2"/>
      <c r="W299" s="2"/>
      <c r="X299" s="2"/>
      <c r="Y299" s="2"/>
      <c r="Z299" s="2"/>
      <c r="AA299" s="2"/>
      <c r="AB299" s="2"/>
      <c r="AC299" s="2"/>
      <c r="AD299" s="2"/>
      <c r="AE299" s="2"/>
      <c r="AF299" s="2"/>
      <c r="AG299" s="2"/>
      <c r="AH299" s="2"/>
      <c r="AI299" s="2"/>
      <c r="AJ299" s="2"/>
      <c r="AK299" s="2"/>
    </row>
    <row r="300" spans="2:37">
      <c r="B300" s="2"/>
      <c r="C300" s="2"/>
      <c r="D300" s="2"/>
      <c r="E300" s="2"/>
      <c r="F300" s="2"/>
      <c r="G300" s="2"/>
      <c r="H300" s="2"/>
      <c r="I300" s="2"/>
      <c r="J300" s="2"/>
      <c r="K300" s="2"/>
      <c r="L300" s="2"/>
      <c r="M300" s="2"/>
      <c r="N300" s="2"/>
      <c r="O300" s="140" t="str">
        <f t="shared" si="60"/>
        <v>Instructional Support: 0%</v>
      </c>
      <c r="P300" s="210" t="e">
        <f t="shared" si="61"/>
        <v>#N/A</v>
      </c>
      <c r="Q300" s="140" t="str">
        <f t="shared" si="62"/>
        <v>Instructional Support</v>
      </c>
      <c r="R300" s="2"/>
      <c r="S300" s="2"/>
      <c r="T300" s="2"/>
      <c r="U300" s="2"/>
      <c r="V300" s="2"/>
      <c r="W300" s="2"/>
      <c r="X300" s="315"/>
      <c r="Y300" s="2"/>
      <c r="Z300" s="315"/>
      <c r="AA300" s="315"/>
      <c r="AB300" s="2"/>
      <c r="AC300" s="2"/>
      <c r="AD300" s="2"/>
      <c r="AE300" s="2"/>
      <c r="AF300" s="2"/>
      <c r="AG300" s="2"/>
      <c r="AH300" s="2"/>
      <c r="AI300" s="2"/>
      <c r="AJ300" s="2"/>
      <c r="AK300" s="2"/>
    </row>
    <row r="301" spans="2:37">
      <c r="B301" s="2"/>
      <c r="C301" s="2"/>
      <c r="D301" s="2"/>
      <c r="E301" s="2"/>
      <c r="F301" s="2"/>
      <c r="G301" s="2"/>
      <c r="H301" s="2"/>
      <c r="I301" s="2"/>
      <c r="J301" s="2"/>
      <c r="K301" s="2"/>
      <c r="L301" s="2"/>
      <c r="M301" s="2"/>
      <c r="N301" s="2"/>
      <c r="O301" s="140" t="str">
        <f t="shared" si="60"/>
        <v>Administraton &amp; Support: 0%</v>
      </c>
      <c r="P301" s="210" t="e">
        <f t="shared" si="61"/>
        <v>#N/A</v>
      </c>
      <c r="Q301" s="140" t="str">
        <f t="shared" si="62"/>
        <v>Administraton &amp; Support</v>
      </c>
      <c r="R301" s="2"/>
      <c r="S301" s="2"/>
      <c r="T301" s="2"/>
      <c r="U301" s="2"/>
      <c r="V301" s="2"/>
      <c r="W301" s="2"/>
      <c r="X301" s="2"/>
      <c r="Y301" s="2"/>
      <c r="Z301" s="2"/>
      <c r="AA301" s="2"/>
      <c r="AB301" s="2"/>
      <c r="AC301" s="2"/>
      <c r="AD301" s="2"/>
      <c r="AE301" s="2"/>
      <c r="AF301" s="2"/>
      <c r="AG301" s="2"/>
      <c r="AH301" s="2"/>
      <c r="AI301" s="2"/>
      <c r="AJ301" s="2"/>
      <c r="AK301" s="2"/>
    </row>
    <row r="302" spans="2:37">
      <c r="B302" s="2"/>
      <c r="C302" s="2"/>
      <c r="D302" s="2"/>
      <c r="E302" s="2"/>
      <c r="F302" s="2"/>
      <c r="G302" s="2"/>
      <c r="H302" s="2"/>
      <c r="I302" s="2"/>
      <c r="J302" s="2"/>
      <c r="K302" s="2"/>
      <c r="L302" s="2"/>
      <c r="M302" s="2"/>
      <c r="N302" s="2"/>
      <c r="O302" s="140" t="str">
        <f t="shared" si="60"/>
        <v>Operations &amp; Maintenance: 0%</v>
      </c>
      <c r="P302" s="210" t="e">
        <f t="shared" si="61"/>
        <v>#N/A</v>
      </c>
      <c r="Q302" s="140" t="str">
        <f t="shared" si="62"/>
        <v>Operations &amp; Maintenance</v>
      </c>
      <c r="R302" s="2"/>
      <c r="S302" s="2"/>
      <c r="T302" s="2"/>
      <c r="U302" s="2"/>
      <c r="V302" s="2"/>
      <c r="W302" s="2"/>
      <c r="X302" s="2"/>
      <c r="Y302" s="2"/>
      <c r="Z302" s="2"/>
      <c r="AA302" s="2"/>
      <c r="AB302" s="2"/>
      <c r="AC302" s="2"/>
      <c r="AD302" s="2"/>
      <c r="AE302" s="2"/>
      <c r="AF302" s="2"/>
      <c r="AG302" s="2"/>
      <c r="AH302" s="2"/>
      <c r="AI302" s="2"/>
      <c r="AJ302" s="2"/>
      <c r="AK302" s="2"/>
    </row>
    <row r="303" spans="2:37">
      <c r="B303" s="2"/>
      <c r="C303" s="2"/>
      <c r="D303" s="2"/>
      <c r="E303" s="2"/>
      <c r="F303" s="2"/>
      <c r="G303" s="2"/>
      <c r="H303" s="2"/>
      <c r="I303" s="2"/>
      <c r="J303" s="2"/>
      <c r="K303" s="2"/>
      <c r="L303" s="2"/>
      <c r="M303" s="2"/>
      <c r="N303" s="2"/>
      <c r="O303" s="140" t="str">
        <f t="shared" si="60"/>
        <v>Transportation: 0%</v>
      </c>
      <c r="P303" s="210" t="e">
        <f t="shared" si="61"/>
        <v>#N/A</v>
      </c>
      <c r="Q303" s="140" t="str">
        <f t="shared" si="62"/>
        <v>Transportation</v>
      </c>
      <c r="R303" s="2"/>
      <c r="S303" s="2"/>
      <c r="T303" s="2"/>
      <c r="U303" s="2"/>
      <c r="V303" s="2"/>
      <c r="W303" s="2"/>
      <c r="X303" s="2"/>
      <c r="Y303" s="2"/>
      <c r="Z303" s="2"/>
      <c r="AA303" s="2"/>
      <c r="AB303" s="2"/>
      <c r="AC303" s="2"/>
      <c r="AD303" s="2"/>
      <c r="AE303" s="2"/>
      <c r="AF303" s="2"/>
      <c r="AG303" s="2"/>
      <c r="AH303" s="2"/>
      <c r="AI303" s="2"/>
      <c r="AJ303" s="2"/>
      <c r="AK303" s="2"/>
    </row>
    <row r="304" spans="2:37">
      <c r="B304" s="2"/>
      <c r="C304" s="2"/>
      <c r="D304" s="2"/>
      <c r="E304" s="2"/>
      <c r="F304" s="2"/>
      <c r="G304" s="2"/>
      <c r="H304" s="2"/>
      <c r="I304" s="2"/>
      <c r="J304" s="2"/>
      <c r="K304" s="2"/>
      <c r="L304" s="2"/>
      <c r="M304" s="2"/>
      <c r="N304" s="2"/>
      <c r="O304" s="140" t="str">
        <f t="shared" si="60"/>
        <v>Capital Improvements: 0%</v>
      </c>
      <c r="P304" s="210" t="e">
        <f t="shared" si="61"/>
        <v>#N/A</v>
      </c>
      <c r="Q304" s="140" t="str">
        <f t="shared" si="62"/>
        <v>Capital Improvements</v>
      </c>
      <c r="R304" s="2"/>
      <c r="S304" s="2"/>
      <c r="T304" s="2"/>
      <c r="U304" s="2"/>
      <c r="V304" s="2"/>
      <c r="W304" s="2"/>
      <c r="X304" s="2"/>
      <c r="Y304" s="2"/>
      <c r="Z304" s="2"/>
      <c r="AA304" s="2"/>
      <c r="AB304" s="2"/>
      <c r="AC304" s="2"/>
      <c r="AD304" s="2"/>
      <c r="AE304" s="2"/>
      <c r="AF304" s="2"/>
      <c r="AG304" s="2"/>
      <c r="AH304" s="2"/>
      <c r="AI304" s="2"/>
      <c r="AJ304" s="2"/>
      <c r="AK304" s="2"/>
    </row>
    <row r="305" spans="2:37">
      <c r="B305" s="2"/>
      <c r="C305" s="2"/>
      <c r="D305" s="2"/>
      <c r="E305" s="2"/>
      <c r="F305" s="2"/>
      <c r="G305" s="2"/>
      <c r="H305" s="2"/>
      <c r="I305" s="2"/>
      <c r="J305" s="2"/>
      <c r="K305" s="2"/>
      <c r="L305" s="2"/>
      <c r="M305" s="2"/>
      <c r="N305" s="2"/>
      <c r="O305" s="140" t="str">
        <f>$B265&amp;": "&amp;IFERROR(IF(I265/$I$266&gt;=0.01,P305*100,IF(AND(I265/$I$266&lt;0.01,I265/$I$266&gt;0),LEFT(J265,2),0)),0)&amp;"%"</f>
        <v>Other Costs: 0%</v>
      </c>
      <c r="P305" s="210" t="e">
        <f>IF(I265/$I$266&lt;0.01,#N/A,$J265)</f>
        <v>#N/A</v>
      </c>
      <c r="Q305" s="140" t="str">
        <f>LEFT(O305,(FIND(":",O305)-1))</f>
        <v>Other Costs</v>
      </c>
      <c r="R305" s="2"/>
      <c r="S305" s="2"/>
      <c r="T305" s="2"/>
      <c r="U305" s="2"/>
      <c r="V305" s="2"/>
      <c r="W305" s="2"/>
      <c r="X305" s="2"/>
      <c r="Y305" s="2"/>
      <c r="Z305" s="2"/>
      <c r="AA305" s="2"/>
      <c r="AB305" s="2"/>
      <c r="AC305" s="2"/>
      <c r="AD305" s="2"/>
      <c r="AE305" s="2"/>
      <c r="AF305" s="2"/>
      <c r="AG305" s="2"/>
      <c r="AH305" s="2"/>
      <c r="AI305" s="2"/>
      <c r="AJ305" s="2"/>
      <c r="AK305" s="2"/>
    </row>
    <row r="306" spans="2:37">
      <c r="B306" s="2"/>
      <c r="C306" s="2"/>
      <c r="D306" s="2"/>
      <c r="E306" s="2"/>
      <c r="F306" s="2"/>
      <c r="G306" s="2"/>
      <c r="H306" s="2"/>
      <c r="I306" s="2"/>
      <c r="J306" s="2"/>
      <c r="K306" s="2"/>
      <c r="L306" s="2"/>
      <c r="M306" s="2"/>
      <c r="N306" s="2"/>
      <c r="R306" s="2"/>
      <c r="S306" s="2"/>
      <c r="T306" s="2"/>
      <c r="U306" s="2"/>
      <c r="V306" s="2"/>
      <c r="W306" s="2"/>
      <c r="X306" s="2"/>
      <c r="Y306" s="2"/>
      <c r="Z306" s="2"/>
      <c r="AA306" s="2"/>
      <c r="AB306" s="2"/>
      <c r="AC306" s="2"/>
      <c r="AD306" s="2"/>
      <c r="AE306" s="2"/>
      <c r="AF306" s="2"/>
      <c r="AG306" s="2"/>
      <c r="AH306" s="2"/>
      <c r="AI306" s="2"/>
      <c r="AJ306" s="2"/>
      <c r="AK306" s="2"/>
    </row>
    <row r="307" spans="2:37">
      <c r="B307" s="2"/>
      <c r="C307" s="2"/>
      <c r="D307" s="2"/>
      <c r="E307" s="2"/>
      <c r="F307" s="2"/>
      <c r="G307" s="2"/>
      <c r="H307" s="2"/>
      <c r="I307" s="2"/>
      <c r="J307" s="2"/>
      <c r="K307" s="2"/>
      <c r="L307" s="2"/>
      <c r="M307" s="2"/>
      <c r="N307" s="2"/>
      <c r="R307" s="2"/>
      <c r="S307" s="2"/>
      <c r="T307" s="2"/>
      <c r="U307" s="2"/>
      <c r="V307" s="2"/>
      <c r="W307" s="2"/>
      <c r="X307" s="2"/>
      <c r="Y307" s="2"/>
      <c r="Z307" s="2"/>
      <c r="AA307" s="2"/>
      <c r="AB307" s="2"/>
      <c r="AC307" s="2"/>
      <c r="AD307" s="2"/>
      <c r="AE307" s="2"/>
      <c r="AF307" s="2"/>
      <c r="AG307" s="2"/>
      <c r="AH307" s="2"/>
      <c r="AI307" s="2"/>
      <c r="AJ307" s="2"/>
      <c r="AK307" s="2"/>
    </row>
    <row r="308" spans="2:37">
      <c r="B308" s="2"/>
      <c r="C308" s="2"/>
      <c r="D308" s="2"/>
      <c r="E308" s="2"/>
      <c r="F308" s="2"/>
      <c r="G308" s="2"/>
      <c r="H308" s="2"/>
      <c r="I308" s="2"/>
      <c r="J308" s="2"/>
      <c r="K308" s="2"/>
      <c r="L308" s="2"/>
      <c r="M308" s="2"/>
      <c r="N308" s="2"/>
      <c r="R308" s="2"/>
      <c r="S308" s="2"/>
      <c r="T308" s="2"/>
      <c r="U308" s="2"/>
      <c r="V308" s="2"/>
      <c r="W308" s="2"/>
      <c r="X308" s="2"/>
      <c r="Y308" s="2"/>
      <c r="Z308" s="2"/>
      <c r="AA308" s="2"/>
      <c r="AB308" s="2"/>
      <c r="AC308" s="2"/>
      <c r="AD308" s="2"/>
      <c r="AE308" s="2"/>
      <c r="AF308" s="2"/>
      <c r="AG308" s="2"/>
      <c r="AH308" s="2"/>
      <c r="AI308" s="2"/>
      <c r="AJ308" s="2"/>
      <c r="AK308" s="2"/>
    </row>
    <row r="309" spans="2:37">
      <c r="B309" s="2"/>
      <c r="C309" s="2"/>
      <c r="D309" s="2"/>
      <c r="E309" s="2"/>
      <c r="F309" s="2"/>
      <c r="G309" s="2"/>
      <c r="H309" s="2"/>
      <c r="I309" s="2"/>
      <c r="J309" s="2"/>
      <c r="K309" s="2"/>
      <c r="L309" s="2"/>
      <c r="M309" s="2"/>
      <c r="N309" s="2"/>
      <c r="R309" s="2"/>
      <c r="S309" s="2"/>
      <c r="T309" s="2"/>
      <c r="U309" s="2"/>
      <c r="V309" s="2"/>
      <c r="W309" s="2"/>
      <c r="X309" s="2"/>
      <c r="Y309" s="2"/>
      <c r="Z309" s="2"/>
      <c r="AA309" s="2"/>
      <c r="AB309" s="2"/>
      <c r="AC309" s="2"/>
      <c r="AD309" s="2"/>
      <c r="AE309" s="2"/>
      <c r="AF309" s="2"/>
      <c r="AG309" s="2"/>
      <c r="AH309" s="2"/>
      <c r="AI309" s="2"/>
      <c r="AJ309" s="2"/>
      <c r="AK309" s="2"/>
    </row>
    <row r="310" spans="2:37">
      <c r="B310" s="2"/>
      <c r="C310" s="2"/>
      <c r="D310" s="2"/>
      <c r="E310" s="2"/>
      <c r="F310" s="2"/>
      <c r="G310" s="2"/>
      <c r="H310" s="2"/>
      <c r="I310" s="2"/>
      <c r="J310" s="2"/>
      <c r="K310" s="2"/>
      <c r="L310" s="2"/>
      <c r="M310" s="2"/>
      <c r="N310" s="2"/>
      <c r="R310" s="2"/>
      <c r="S310" s="2"/>
      <c r="T310" s="2"/>
      <c r="U310" s="2"/>
      <c r="V310" s="2"/>
      <c r="W310" s="2"/>
      <c r="X310" s="2"/>
      <c r="Y310" s="2"/>
      <c r="Z310" s="2"/>
      <c r="AA310" s="2"/>
      <c r="AB310" s="2"/>
      <c r="AC310" s="2"/>
      <c r="AD310" s="2"/>
      <c r="AE310" s="2"/>
      <c r="AF310" s="2"/>
      <c r="AG310" s="2"/>
      <c r="AH310" s="2"/>
      <c r="AI310" s="2"/>
      <c r="AJ310" s="2"/>
      <c r="AK310" s="2"/>
    </row>
    <row r="311" spans="2:37">
      <c r="B311" s="2"/>
      <c r="C311" s="2"/>
      <c r="D311" s="2"/>
      <c r="E311" s="2"/>
      <c r="F311" s="2"/>
      <c r="G311" s="2"/>
      <c r="H311" s="2"/>
      <c r="I311" s="2"/>
      <c r="J311" s="2"/>
      <c r="K311" s="2"/>
      <c r="L311" s="2"/>
      <c r="M311" s="2"/>
      <c r="N311" s="2"/>
      <c r="R311" s="2"/>
      <c r="S311" s="2"/>
      <c r="T311" s="2"/>
      <c r="U311" s="2"/>
      <c r="V311" s="2"/>
      <c r="W311" s="2"/>
      <c r="X311" s="2"/>
      <c r="Y311" s="2"/>
      <c r="Z311" s="2"/>
      <c r="AA311" s="2"/>
      <c r="AB311" s="2"/>
      <c r="AC311" s="2"/>
      <c r="AD311" s="2"/>
      <c r="AE311" s="2"/>
      <c r="AF311" s="2"/>
      <c r="AG311" s="2"/>
      <c r="AH311" s="2"/>
      <c r="AI311" s="2"/>
      <c r="AJ311" s="2"/>
      <c r="AK311" s="2"/>
    </row>
    <row r="312" spans="2:37">
      <c r="B312" s="2"/>
      <c r="C312" s="2"/>
      <c r="D312" s="2"/>
      <c r="E312" s="2"/>
      <c r="F312" s="2"/>
      <c r="G312" s="2"/>
      <c r="H312" s="2"/>
      <c r="I312" s="2"/>
      <c r="J312" s="2"/>
      <c r="K312" s="2"/>
      <c r="L312" s="2"/>
      <c r="M312" s="2"/>
      <c r="N312" s="2"/>
      <c r="R312" s="2"/>
      <c r="S312" s="2"/>
      <c r="T312" s="2"/>
      <c r="U312" s="2"/>
      <c r="V312" s="2"/>
      <c r="W312" s="2"/>
      <c r="X312" s="2"/>
      <c r="Y312" s="2"/>
      <c r="Z312" s="2"/>
      <c r="AA312" s="2"/>
      <c r="AB312" s="2"/>
      <c r="AC312" s="2"/>
      <c r="AD312" s="2"/>
      <c r="AE312" s="2"/>
      <c r="AF312" s="2"/>
      <c r="AG312" s="2"/>
      <c r="AH312" s="2"/>
      <c r="AI312" s="2"/>
      <c r="AJ312" s="2"/>
      <c r="AK312" s="2"/>
    </row>
    <row r="313" spans="2:37">
      <c r="B313" s="2"/>
      <c r="C313" s="2"/>
      <c r="D313" s="2"/>
      <c r="E313" s="2"/>
      <c r="F313" s="2"/>
      <c r="G313" s="2"/>
      <c r="H313" s="2"/>
      <c r="I313" s="2"/>
      <c r="J313" s="2"/>
      <c r="K313" s="2"/>
      <c r="L313" s="2"/>
      <c r="M313" s="2"/>
      <c r="N313" s="2"/>
      <c r="R313" s="2"/>
      <c r="S313" s="2"/>
      <c r="T313" s="2"/>
      <c r="U313" s="2"/>
      <c r="V313" s="2"/>
      <c r="W313" s="2"/>
      <c r="X313" s="2"/>
      <c r="Y313" s="2"/>
      <c r="Z313" s="2"/>
      <c r="AA313" s="2"/>
      <c r="AB313" s="2"/>
      <c r="AC313" s="2"/>
      <c r="AD313" s="2"/>
      <c r="AE313" s="2"/>
      <c r="AF313" s="2"/>
      <c r="AG313" s="2"/>
      <c r="AH313" s="2"/>
      <c r="AI313" s="2"/>
      <c r="AJ313" s="2"/>
      <c r="AK313" s="2"/>
    </row>
    <row r="314" spans="2:37">
      <c r="B314" s="2"/>
      <c r="C314" s="2"/>
      <c r="D314" s="2"/>
      <c r="E314" s="2"/>
      <c r="F314" s="2"/>
      <c r="G314" s="2"/>
      <c r="H314" s="2"/>
      <c r="I314" s="2"/>
      <c r="J314" s="2"/>
      <c r="K314" s="2"/>
      <c r="L314" s="2"/>
      <c r="M314" s="2"/>
      <c r="N314" s="2"/>
      <c r="R314" s="2"/>
      <c r="S314" s="2"/>
      <c r="T314" s="2"/>
      <c r="U314" s="2"/>
      <c r="V314" s="2"/>
      <c r="W314" s="2"/>
      <c r="X314" s="2"/>
      <c r="Y314" s="2"/>
      <c r="Z314" s="2"/>
      <c r="AA314" s="2"/>
      <c r="AB314" s="2"/>
      <c r="AC314" s="2"/>
      <c r="AD314" s="2"/>
      <c r="AE314" s="2"/>
      <c r="AF314" s="2"/>
      <c r="AG314" s="2"/>
      <c r="AH314" s="2"/>
      <c r="AI314" s="2"/>
      <c r="AJ314" s="2"/>
      <c r="AK314" s="2"/>
    </row>
    <row r="315" spans="2:37">
      <c r="B315" s="2"/>
      <c r="C315" s="2"/>
      <c r="D315" s="2"/>
      <c r="E315" s="2"/>
      <c r="F315" s="2"/>
      <c r="G315" s="2"/>
      <c r="H315" s="2"/>
      <c r="I315" s="2"/>
      <c r="J315" s="2"/>
      <c r="K315" s="2"/>
      <c r="L315" s="2"/>
      <c r="M315" s="2"/>
      <c r="N315" s="2"/>
      <c r="O315" s="2"/>
      <c r="P315" s="2"/>
      <c r="Q315" s="2"/>
      <c r="R315" s="2"/>
      <c r="S315" s="2"/>
      <c r="T315" s="2"/>
      <c r="U315" s="2"/>
      <c r="V315" s="2"/>
      <c r="W315" s="2"/>
      <c r="X315" s="2"/>
      <c r="Y315" s="2"/>
      <c r="Z315" s="2"/>
      <c r="AA315" s="2"/>
      <c r="AB315" s="2"/>
      <c r="AC315" s="2"/>
      <c r="AD315" s="2"/>
      <c r="AE315" s="2"/>
      <c r="AF315" s="2"/>
      <c r="AG315" s="2"/>
      <c r="AH315" s="2"/>
      <c r="AI315" s="2"/>
      <c r="AJ315" s="2"/>
      <c r="AK315" s="2"/>
    </row>
    <row r="316" spans="2:37">
      <c r="B316" s="2"/>
      <c r="C316" s="2"/>
      <c r="D316" s="2"/>
      <c r="E316" s="2"/>
      <c r="F316" s="2"/>
      <c r="G316" s="2"/>
      <c r="H316" s="2"/>
      <c r="I316" s="2"/>
      <c r="J316" s="2"/>
      <c r="K316" s="2"/>
      <c r="L316" s="2"/>
      <c r="M316" s="2"/>
      <c r="N316" s="2"/>
      <c r="O316" s="2"/>
      <c r="P316" s="2"/>
      <c r="Q316" s="2"/>
      <c r="R316" s="2"/>
      <c r="S316" s="2"/>
      <c r="T316" s="2"/>
      <c r="U316" s="2"/>
      <c r="V316" s="2"/>
      <c r="W316" s="2"/>
      <c r="X316" s="2"/>
      <c r="Y316" s="2"/>
      <c r="Z316" s="2"/>
      <c r="AA316" s="2"/>
      <c r="AB316" s="2"/>
      <c r="AC316" s="2"/>
      <c r="AD316" s="2"/>
      <c r="AE316" s="2"/>
      <c r="AF316" s="2"/>
      <c r="AG316" s="2"/>
      <c r="AH316" s="2"/>
      <c r="AI316" s="2"/>
      <c r="AJ316" s="2"/>
      <c r="AK316" s="2"/>
    </row>
    <row r="317" spans="2:37" ht="18">
      <c r="B317" s="316" t="s">
        <v>147</v>
      </c>
      <c r="C317" s="143"/>
      <c r="D317" s="143"/>
      <c r="E317" s="143"/>
      <c r="F317" s="143"/>
      <c r="G317" s="143"/>
      <c r="H317" s="143"/>
      <c r="I317" s="143"/>
      <c r="J317" s="143"/>
      <c r="K317" s="143"/>
      <c r="L317" s="143"/>
      <c r="M317" s="2"/>
      <c r="N317" s="2"/>
      <c r="O317" s="2"/>
      <c r="P317" s="2"/>
      <c r="Q317" s="2"/>
      <c r="R317" s="2"/>
      <c r="S317" s="2"/>
      <c r="T317" s="2"/>
      <c r="U317" s="2"/>
      <c r="V317" s="2"/>
      <c r="W317" s="2"/>
      <c r="X317" s="2"/>
      <c r="Y317" s="2"/>
      <c r="Z317" s="2"/>
      <c r="AA317" s="2"/>
      <c r="AB317" s="2"/>
      <c r="AC317" s="2"/>
      <c r="AD317" s="2"/>
      <c r="AE317" s="2"/>
      <c r="AF317" s="2"/>
      <c r="AG317" s="2"/>
      <c r="AH317" s="2"/>
      <c r="AI317" s="2"/>
      <c r="AJ317" s="2"/>
      <c r="AK317" s="2"/>
    </row>
    <row r="318" spans="2:37">
      <c r="B318" s="317"/>
      <c r="C318" s="59"/>
      <c r="D318" s="59"/>
      <c r="E318" s="59"/>
      <c r="F318" s="59"/>
      <c r="G318" s="59"/>
      <c r="H318" s="59"/>
      <c r="I318" s="59"/>
      <c r="J318" s="59"/>
      <c r="K318" s="2"/>
      <c r="L318" s="2"/>
      <c r="M318" s="2"/>
      <c r="N318" s="2"/>
      <c r="O318" s="2"/>
      <c r="P318" s="2"/>
      <c r="Q318" s="2"/>
      <c r="R318" s="2"/>
      <c r="S318" s="2"/>
      <c r="T318" s="2"/>
      <c r="U318" s="2"/>
      <c r="V318" s="2"/>
      <c r="W318" s="2"/>
      <c r="X318" s="2"/>
      <c r="Y318" s="2"/>
      <c r="Z318" s="2"/>
      <c r="AA318" s="2"/>
      <c r="AB318" s="2"/>
      <c r="AC318" s="2"/>
      <c r="AD318" s="2"/>
      <c r="AE318" s="2"/>
      <c r="AF318" s="2"/>
      <c r="AG318" s="2"/>
      <c r="AH318" s="2"/>
      <c r="AI318" s="2"/>
      <c r="AJ318" s="2"/>
      <c r="AK318" s="2"/>
    </row>
    <row r="319" spans="2:37">
      <c r="B319" s="2"/>
      <c r="C319" s="43"/>
      <c r="D319" s="318" t="str">
        <f>D4</f>
        <v>2023-2024</v>
      </c>
      <c r="E319" s="43"/>
      <c r="F319" s="792" t="str">
        <f>F4</f>
        <v>2024-2025</v>
      </c>
      <c r="G319" s="793"/>
      <c r="H319" s="319" t="s">
        <v>2</v>
      </c>
      <c r="J319" s="792" t="str">
        <f>I4</f>
        <v>2025-2026</v>
      </c>
      <c r="K319" s="793"/>
      <c r="L319" s="320" t="s">
        <v>2</v>
      </c>
      <c r="M319" s="2"/>
      <c r="N319" s="2"/>
      <c r="O319" s="2"/>
      <c r="P319" s="2"/>
      <c r="Q319" s="2"/>
      <c r="R319" s="2"/>
      <c r="S319" s="2"/>
      <c r="T319" s="2"/>
      <c r="U319" s="2"/>
      <c r="V319" s="2"/>
      <c r="W319" s="2"/>
      <c r="X319" s="2"/>
      <c r="Y319" s="2"/>
      <c r="Z319" s="2"/>
      <c r="AA319" s="2"/>
      <c r="AB319" s="2"/>
      <c r="AC319" s="2"/>
      <c r="AD319" s="2"/>
      <c r="AE319" s="2"/>
      <c r="AF319" s="2"/>
      <c r="AG319" s="2"/>
      <c r="AH319" s="2"/>
      <c r="AI319" s="2"/>
      <c r="AJ319" s="2"/>
      <c r="AK319" s="2"/>
    </row>
    <row r="320" spans="2:37">
      <c r="B320" s="2"/>
      <c r="C320" s="301" t="s">
        <v>4</v>
      </c>
      <c r="D320" s="321" t="s">
        <v>5</v>
      </c>
      <c r="E320" s="43"/>
      <c r="F320" s="856" t="s">
        <v>5</v>
      </c>
      <c r="G320" s="857"/>
      <c r="H320" s="322" t="s">
        <v>144</v>
      </c>
      <c r="J320" s="856" t="s">
        <v>6</v>
      </c>
      <c r="K320" s="857"/>
      <c r="L320" s="323" t="s">
        <v>144</v>
      </c>
      <c r="M320" s="2"/>
      <c r="N320" s="2"/>
      <c r="O320" s="2"/>
      <c r="P320" s="2"/>
      <c r="Q320" s="2"/>
      <c r="R320" s="2"/>
      <c r="S320" s="2"/>
      <c r="T320" s="2"/>
      <c r="U320" s="2"/>
      <c r="V320" s="2"/>
      <c r="W320" s="2"/>
      <c r="X320" s="2"/>
      <c r="Y320" s="2"/>
      <c r="Z320" s="2"/>
      <c r="AA320" s="2"/>
      <c r="AB320" s="2"/>
      <c r="AC320" s="2"/>
      <c r="AD320" s="2"/>
      <c r="AE320" s="2"/>
      <c r="AF320" s="2"/>
      <c r="AG320" s="2"/>
      <c r="AH320" s="2"/>
      <c r="AI320" s="2"/>
      <c r="AJ320" s="2"/>
      <c r="AK320" s="2"/>
    </row>
    <row r="321" spans="2:37">
      <c r="B321" s="324" t="s">
        <v>34</v>
      </c>
      <c r="C321" s="325"/>
      <c r="D321" s="326">
        <f>SUM([1]C06!$C$48:$C$68)</f>
        <v>450094</v>
      </c>
      <c r="E321" s="327"/>
      <c r="F321" s="747">
        <f>SUM([1]C06!$D$48:$D$68)</f>
        <v>509814</v>
      </c>
      <c r="G321" s="732"/>
      <c r="H321" s="328">
        <f t="shared" ref="H321:H359" si="63">IF(D321=0,0,((F321-D321)/D321))</f>
        <v>0.13</v>
      </c>
      <c r="J321" s="747">
        <f>SUM([1]C06!$E$48:$E$68)</f>
        <v>574723</v>
      </c>
      <c r="K321" s="732"/>
      <c r="L321" s="328">
        <f t="shared" ref="L321:L342" si="64">IF(F321=0,0,((J321-F321)/F321))</f>
        <v>0.13</v>
      </c>
      <c r="M321" s="2"/>
      <c r="N321" s="2"/>
      <c r="O321" s="2"/>
      <c r="P321" s="2"/>
      <c r="Q321" s="2"/>
      <c r="R321" s="2"/>
      <c r="S321" s="2"/>
      <c r="T321" s="2"/>
      <c r="U321" s="2"/>
      <c r="V321" s="2"/>
      <c r="W321" s="2"/>
      <c r="X321" s="2"/>
      <c r="Y321" s="2"/>
      <c r="Z321" s="2"/>
      <c r="AA321" s="2"/>
      <c r="AB321" s="2"/>
      <c r="AC321" s="2"/>
      <c r="AD321" s="2"/>
      <c r="AE321" s="2"/>
      <c r="AF321" s="2"/>
      <c r="AG321" s="2"/>
      <c r="AH321" s="2"/>
      <c r="AI321" s="2"/>
      <c r="AJ321" s="2"/>
      <c r="AK321" s="2"/>
    </row>
    <row r="322" spans="2:37">
      <c r="B322" s="44" t="s">
        <v>36</v>
      </c>
      <c r="C322" s="44"/>
      <c r="D322" s="329">
        <f>SUM([1]C07!$C$42:$C$62)</f>
        <v>106138</v>
      </c>
      <c r="E322" s="327"/>
      <c r="F322" s="671">
        <f>SUM([1]C07!$D$42:$D$62)</f>
        <v>61047</v>
      </c>
      <c r="G322" s="653"/>
      <c r="H322" s="330">
        <f t="shared" si="63"/>
        <v>-0.42</v>
      </c>
      <c r="J322" s="671">
        <f>SUM([1]C07!$E$42:$E$62)</f>
        <v>62800</v>
      </c>
      <c r="K322" s="653"/>
      <c r="L322" s="330">
        <f t="shared" si="64"/>
        <v>0.03</v>
      </c>
      <c r="M322" s="2"/>
      <c r="N322" s="2"/>
      <c r="O322" s="2"/>
      <c r="P322" s="2"/>
      <c r="Q322" s="2"/>
      <c r="R322" s="2"/>
      <c r="S322" s="2"/>
      <c r="T322" s="2"/>
      <c r="U322" s="2"/>
      <c r="V322" s="2"/>
      <c r="W322" s="2"/>
      <c r="X322" s="2"/>
      <c r="Y322" s="2"/>
      <c r="Z322" s="2"/>
      <c r="AA322" s="2"/>
      <c r="AB322" s="2"/>
      <c r="AC322" s="2"/>
      <c r="AD322" s="2"/>
      <c r="AE322" s="2"/>
      <c r="AF322" s="2"/>
      <c r="AG322" s="2"/>
      <c r="AH322" s="2"/>
      <c r="AI322" s="2"/>
      <c r="AJ322" s="2"/>
      <c r="AK322" s="2"/>
    </row>
    <row r="323" spans="2:37">
      <c r="B323" s="324" t="s">
        <v>35</v>
      </c>
      <c r="C323" s="324"/>
      <c r="D323" s="331">
        <f>SUM([1]C08!$C$53:$C$73)</f>
        <v>66546</v>
      </c>
      <c r="E323" s="327"/>
      <c r="F323" s="656">
        <f>SUM([1]C08!$D$53:$D$73)</f>
        <v>0</v>
      </c>
      <c r="G323" s="655"/>
      <c r="H323" s="332">
        <f t="shared" si="63"/>
        <v>-1</v>
      </c>
      <c r="J323" s="656">
        <f>SUM([1]C08!$E$53:$E$73)</f>
        <v>13883</v>
      </c>
      <c r="K323" s="655"/>
      <c r="L323" s="332">
        <f t="shared" si="64"/>
        <v>0</v>
      </c>
      <c r="M323" s="2"/>
      <c r="N323" s="2"/>
      <c r="O323" s="2"/>
      <c r="P323" s="2"/>
      <c r="Q323" s="2"/>
      <c r="R323" s="2"/>
      <c r="S323" s="2"/>
      <c r="T323" s="2"/>
      <c r="U323" s="2"/>
      <c r="V323" s="2"/>
      <c r="W323" s="2"/>
      <c r="X323" s="2"/>
      <c r="Y323" s="2"/>
      <c r="Z323" s="2"/>
      <c r="AA323" s="2"/>
      <c r="AB323" s="2"/>
      <c r="AC323" s="2"/>
      <c r="AD323" s="2"/>
      <c r="AE323" s="2"/>
      <c r="AF323" s="2"/>
      <c r="AG323" s="2"/>
      <c r="AH323" s="2"/>
      <c r="AI323" s="2"/>
      <c r="AJ323" s="2"/>
      <c r="AK323" s="2"/>
    </row>
    <row r="324" spans="2:37">
      <c r="B324" s="1" t="s">
        <v>140</v>
      </c>
      <c r="C324" s="333"/>
      <c r="D324" s="334">
        <f>SUM([1]C011!$C$44:$C$63)</f>
        <v>10403</v>
      </c>
      <c r="E324" s="327"/>
      <c r="F324" s="671">
        <f>SUM([1]C011!$D$44:$D$63)</f>
        <v>16114</v>
      </c>
      <c r="G324" s="653"/>
      <c r="H324" s="330">
        <f t="shared" si="63"/>
        <v>0.55000000000000004</v>
      </c>
      <c r="J324" s="672">
        <f>SUM([1]C011!$E$44:$E$63)</f>
        <v>5000</v>
      </c>
      <c r="K324" s="673"/>
      <c r="L324" s="330">
        <f t="shared" si="64"/>
        <v>-0.69</v>
      </c>
      <c r="M324" s="2"/>
      <c r="N324" s="2"/>
      <c r="O324" s="2"/>
      <c r="P324" s="2"/>
      <c r="Q324" s="2"/>
      <c r="R324" s="2"/>
      <c r="S324" s="2"/>
      <c r="T324" s="2"/>
      <c r="U324" s="2"/>
      <c r="V324" s="2"/>
      <c r="W324" s="2"/>
      <c r="X324" s="2"/>
      <c r="Y324" s="2"/>
      <c r="Z324" s="2"/>
      <c r="AA324" s="2"/>
      <c r="AB324" s="2"/>
      <c r="AC324" s="2"/>
      <c r="AD324" s="2"/>
      <c r="AE324" s="2"/>
      <c r="AF324" s="2"/>
      <c r="AG324" s="2"/>
      <c r="AH324" s="2"/>
      <c r="AI324" s="2"/>
      <c r="AJ324" s="2"/>
      <c r="AK324" s="2"/>
    </row>
    <row r="325" spans="2:37">
      <c r="B325" s="324" t="s">
        <v>277</v>
      </c>
      <c r="C325" s="335"/>
      <c r="D325" s="331">
        <f>SUM([1]C013!$C$44:$C$63)</f>
        <v>64877</v>
      </c>
      <c r="E325" s="327"/>
      <c r="F325" s="656">
        <f>SUM([1]C013!$D$44:$D$63)</f>
        <v>256782</v>
      </c>
      <c r="G325" s="655"/>
      <c r="H325" s="332">
        <f t="shared" si="63"/>
        <v>2.96</v>
      </c>
      <c r="J325" s="674">
        <f>SUM([1]C013!$E$44:$E$63)</f>
        <v>275674</v>
      </c>
      <c r="K325" s="675"/>
      <c r="L325" s="332">
        <f t="shared" si="64"/>
        <v>7.0000000000000007E-2</v>
      </c>
      <c r="M325" s="2"/>
      <c r="N325" s="2"/>
      <c r="O325" s="2"/>
      <c r="P325" s="2"/>
      <c r="Q325" s="2"/>
      <c r="R325" s="2"/>
      <c r="S325" s="2"/>
      <c r="T325" s="2"/>
      <c r="U325" s="2"/>
      <c r="V325" s="2"/>
      <c r="W325" s="2"/>
      <c r="X325" s="2"/>
      <c r="Y325" s="2"/>
      <c r="Z325" s="2"/>
      <c r="AA325" s="2"/>
      <c r="AB325" s="2"/>
      <c r="AC325" s="2"/>
      <c r="AD325" s="2"/>
      <c r="AE325" s="2"/>
      <c r="AF325" s="2"/>
      <c r="AG325" s="2"/>
      <c r="AH325" s="2"/>
      <c r="AI325" s="2"/>
      <c r="AJ325" s="2"/>
      <c r="AK325" s="2"/>
    </row>
    <row r="326" spans="2:37">
      <c r="B326" s="1" t="s">
        <v>39</v>
      </c>
      <c r="C326" s="1"/>
      <c r="D326" s="334">
        <f>SUM([1]C014!$C$39:$C$59)</f>
        <v>8706</v>
      </c>
      <c r="E326" s="327"/>
      <c r="F326" s="671">
        <f>SUM([1]C014!$D$39:$D$59)</f>
        <v>2355</v>
      </c>
      <c r="G326" s="653"/>
      <c r="H326" s="330">
        <f t="shared" si="63"/>
        <v>-0.73</v>
      </c>
      <c r="J326" s="671">
        <f>SUM([1]C014!$E$39:$E$59)</f>
        <v>10350</v>
      </c>
      <c r="K326" s="653"/>
      <c r="L326" s="330">
        <f t="shared" si="64"/>
        <v>3.39</v>
      </c>
      <c r="M326" s="2"/>
      <c r="N326" s="2"/>
      <c r="O326" s="2"/>
      <c r="P326" s="2"/>
      <c r="Q326" s="2"/>
      <c r="R326" s="2"/>
      <c r="S326" s="2"/>
      <c r="T326" s="2"/>
      <c r="U326" s="2"/>
      <c r="V326" s="2"/>
      <c r="W326" s="2"/>
      <c r="X326" s="2"/>
      <c r="Y326" s="2"/>
      <c r="Z326" s="2"/>
      <c r="AA326" s="2"/>
      <c r="AB326" s="2"/>
      <c r="AC326" s="2"/>
      <c r="AD326" s="2"/>
      <c r="AE326" s="2"/>
      <c r="AF326" s="2"/>
      <c r="AG326" s="2"/>
      <c r="AH326" s="2"/>
      <c r="AI326" s="2"/>
      <c r="AJ326" s="2"/>
      <c r="AK326" s="2"/>
    </row>
    <row r="327" spans="2:37">
      <c r="B327" s="324" t="s">
        <v>40</v>
      </c>
      <c r="C327" s="324"/>
      <c r="D327" s="331">
        <f>SUM([1]C015!$C$40:$C$59)</f>
        <v>0</v>
      </c>
      <c r="E327" s="327"/>
      <c r="F327" s="656">
        <f>SUM([1]C015!$D$40:$D$59)</f>
        <v>0</v>
      </c>
      <c r="G327" s="655"/>
      <c r="H327" s="332">
        <f t="shared" si="63"/>
        <v>0</v>
      </c>
      <c r="J327" s="656">
        <f>SUM([1]C015!$E$40:$E$59)</f>
        <v>0</v>
      </c>
      <c r="K327" s="655"/>
      <c r="L327" s="332">
        <f t="shared" si="64"/>
        <v>0</v>
      </c>
      <c r="M327" s="2"/>
      <c r="N327" s="2"/>
      <c r="O327" s="2"/>
      <c r="P327" s="2"/>
      <c r="Q327" s="2"/>
      <c r="R327" s="2"/>
      <c r="S327" s="2"/>
      <c r="T327" s="2"/>
      <c r="U327" s="2"/>
      <c r="V327" s="2"/>
      <c r="W327" s="2"/>
      <c r="X327" s="2"/>
      <c r="Y327" s="2"/>
      <c r="Z327" s="2"/>
      <c r="AA327" s="2"/>
      <c r="AB327" s="2"/>
      <c r="AC327" s="2"/>
      <c r="AD327" s="2"/>
      <c r="AE327" s="2"/>
      <c r="AF327" s="2"/>
      <c r="AG327" s="2"/>
      <c r="AH327" s="2"/>
      <c r="AI327" s="2"/>
      <c r="AJ327" s="2"/>
      <c r="AK327" s="2"/>
    </row>
    <row r="328" spans="2:37">
      <c r="B328" s="1" t="s">
        <v>41</v>
      </c>
      <c r="C328" s="1"/>
      <c r="D328" s="334">
        <f>SUM([1]C016!$C$60:$C$62)</f>
        <v>13039</v>
      </c>
      <c r="E328" s="327"/>
      <c r="F328" s="671">
        <f>SUM([1]C016!$D$60:$D$62)</f>
        <v>0</v>
      </c>
      <c r="G328" s="653"/>
      <c r="H328" s="330">
        <f t="shared" si="63"/>
        <v>-1</v>
      </c>
      <c r="J328" s="671">
        <f>SUM([1]C016!$E$60:$E$62)</f>
        <v>10000</v>
      </c>
      <c r="K328" s="653"/>
      <c r="L328" s="330">
        <f t="shared" si="64"/>
        <v>0</v>
      </c>
      <c r="M328" s="2"/>
      <c r="N328" s="2"/>
      <c r="O328" s="2"/>
      <c r="P328" s="2"/>
      <c r="Q328" s="2"/>
      <c r="R328" s="2"/>
      <c r="S328" s="2"/>
      <c r="T328" s="2"/>
      <c r="U328" s="2"/>
      <c r="V328" s="2"/>
      <c r="W328" s="2"/>
      <c r="X328" s="2"/>
      <c r="Y328" s="2"/>
      <c r="Z328" s="2"/>
      <c r="AA328" s="2"/>
      <c r="AB328" s="2"/>
      <c r="AC328" s="2"/>
      <c r="AD328" s="2"/>
      <c r="AE328" s="2"/>
      <c r="AF328" s="2"/>
      <c r="AG328" s="2"/>
      <c r="AH328" s="2"/>
      <c r="AI328" s="2"/>
      <c r="AJ328" s="2"/>
      <c r="AK328" s="2"/>
    </row>
    <row r="329" spans="2:37">
      <c r="B329" s="324" t="s">
        <v>42</v>
      </c>
      <c r="C329" s="324"/>
      <c r="D329" s="331">
        <f>SUM([1]C018!$C$40:$C$59)</f>
        <v>0</v>
      </c>
      <c r="E329" s="327"/>
      <c r="F329" s="656">
        <f>SUM([1]C018!$D$40:$D$59)</f>
        <v>0</v>
      </c>
      <c r="G329" s="655"/>
      <c r="H329" s="332">
        <f t="shared" si="63"/>
        <v>0</v>
      </c>
      <c r="J329" s="656">
        <f>SUM([1]C018!$E$40:$E$59)</f>
        <v>0</v>
      </c>
      <c r="K329" s="655"/>
      <c r="L329" s="332">
        <f t="shared" si="64"/>
        <v>0</v>
      </c>
      <c r="M329" s="2"/>
      <c r="N329" s="2"/>
      <c r="O329" s="2"/>
      <c r="P329" s="2"/>
      <c r="Q329" s="2"/>
      <c r="R329" s="2"/>
      <c r="S329" s="2"/>
      <c r="T329" s="2"/>
      <c r="U329" s="2"/>
      <c r="V329" s="2"/>
      <c r="W329" s="2"/>
      <c r="X329" s="2"/>
      <c r="Y329" s="2"/>
      <c r="Z329" s="2"/>
      <c r="AA329" s="2"/>
      <c r="AB329" s="2"/>
      <c r="AC329" s="2"/>
      <c r="AD329" s="2"/>
      <c r="AE329" s="2"/>
      <c r="AF329" s="2"/>
      <c r="AG329" s="2"/>
      <c r="AH329" s="2"/>
      <c r="AI329" s="2"/>
      <c r="AJ329" s="2"/>
      <c r="AK329" s="2"/>
    </row>
    <row r="330" spans="2:37">
      <c r="B330" s="1" t="s">
        <v>43</v>
      </c>
      <c r="C330" s="1"/>
      <c r="D330" s="336">
        <v>0</v>
      </c>
      <c r="E330" s="327"/>
      <c r="F330" s="652">
        <v>0</v>
      </c>
      <c r="G330" s="653"/>
      <c r="H330" s="330">
        <f t="shared" si="63"/>
        <v>0</v>
      </c>
      <c r="J330" s="652">
        <v>0</v>
      </c>
      <c r="K330" s="653"/>
      <c r="L330" s="330">
        <f t="shared" si="64"/>
        <v>0</v>
      </c>
      <c r="M330" s="2"/>
      <c r="N330" s="2"/>
      <c r="O330" s="2"/>
      <c r="P330" s="2"/>
      <c r="Q330" s="2"/>
      <c r="R330" s="2"/>
      <c r="S330" s="2"/>
      <c r="T330" s="2"/>
      <c r="U330" s="2"/>
      <c r="V330" s="2"/>
      <c r="W330" s="2"/>
      <c r="X330" s="2"/>
      <c r="Y330" s="2"/>
      <c r="Z330" s="2"/>
      <c r="AA330" s="2"/>
      <c r="AB330" s="2"/>
      <c r="AC330" s="2"/>
      <c r="AD330" s="2"/>
      <c r="AE330" s="2"/>
      <c r="AF330" s="2"/>
      <c r="AG330" s="2"/>
      <c r="AH330" s="2"/>
      <c r="AI330" s="2"/>
      <c r="AJ330" s="2"/>
      <c r="AK330" s="2"/>
    </row>
    <row r="331" spans="2:37">
      <c r="B331" s="324" t="s">
        <v>44</v>
      </c>
      <c r="C331" s="324"/>
      <c r="D331" s="331">
        <f>SUM([1]C022!$C$39:$C$59)</f>
        <v>0</v>
      </c>
      <c r="E331" s="327"/>
      <c r="F331" s="656">
        <f>SUM([1]C022!$D$39:$D$59)</f>
        <v>0</v>
      </c>
      <c r="G331" s="655"/>
      <c r="H331" s="332">
        <f t="shared" si="63"/>
        <v>0</v>
      </c>
      <c r="J331" s="656">
        <f>SUM([1]C022!$E$39:$E$59)</f>
        <v>0</v>
      </c>
      <c r="K331" s="655"/>
      <c r="L331" s="332">
        <f t="shared" si="64"/>
        <v>0</v>
      </c>
      <c r="M331" s="2"/>
      <c r="N331" s="2"/>
      <c r="O331" s="2"/>
      <c r="P331" s="2"/>
      <c r="Q331" s="2"/>
      <c r="R331" s="2"/>
      <c r="S331" s="2"/>
      <c r="T331" s="2"/>
      <c r="U331" s="2"/>
      <c r="V331" s="2"/>
      <c r="W331" s="2"/>
      <c r="X331" s="2"/>
      <c r="Y331" s="2"/>
      <c r="Z331" s="2"/>
      <c r="AA331" s="2"/>
      <c r="AB331" s="2"/>
      <c r="AC331" s="2"/>
      <c r="AD331" s="2"/>
      <c r="AE331" s="2"/>
      <c r="AF331" s="2"/>
      <c r="AG331" s="2"/>
      <c r="AH331" s="2"/>
      <c r="AI331" s="2"/>
      <c r="AJ331" s="2"/>
      <c r="AK331" s="2"/>
    </row>
    <row r="332" spans="2:37">
      <c r="B332" s="1" t="s">
        <v>45</v>
      </c>
      <c r="C332" s="337">
        <v>24</v>
      </c>
      <c r="D332" s="336">
        <v>0</v>
      </c>
      <c r="E332" s="327"/>
      <c r="F332" s="652">
        <v>0</v>
      </c>
      <c r="G332" s="653"/>
      <c r="H332" s="330">
        <f t="shared" si="63"/>
        <v>0</v>
      </c>
      <c r="J332" s="652">
        <v>0</v>
      </c>
      <c r="K332" s="653"/>
      <c r="L332" s="330">
        <f t="shared" si="64"/>
        <v>0</v>
      </c>
      <c r="M332" s="2"/>
      <c r="N332" s="2"/>
      <c r="O332" s="2"/>
      <c r="P332" s="2"/>
      <c r="Q332" s="2"/>
      <c r="R332" s="2"/>
      <c r="S332" s="2"/>
      <c r="T332" s="2"/>
      <c r="U332" s="2"/>
      <c r="V332" s="2"/>
      <c r="W332" s="2"/>
      <c r="X332" s="2"/>
      <c r="Y332" s="2"/>
      <c r="Z332" s="2"/>
      <c r="AA332" s="2"/>
      <c r="AB332" s="2"/>
      <c r="AC332" s="2"/>
      <c r="AD332" s="2"/>
      <c r="AE332" s="2"/>
      <c r="AF332" s="2"/>
      <c r="AG332" s="2"/>
      <c r="AH332" s="2"/>
      <c r="AI332" s="2"/>
      <c r="AJ332" s="2"/>
      <c r="AK332" s="2"/>
    </row>
    <row r="333" spans="2:37">
      <c r="B333" s="324" t="s">
        <v>46</v>
      </c>
      <c r="C333" s="338">
        <v>26</v>
      </c>
      <c r="D333" s="339">
        <v>0</v>
      </c>
      <c r="E333" s="327"/>
      <c r="F333" s="654">
        <v>0</v>
      </c>
      <c r="G333" s="655"/>
      <c r="H333" s="332">
        <f t="shared" si="63"/>
        <v>0</v>
      </c>
      <c r="J333" s="654">
        <v>0</v>
      </c>
      <c r="K333" s="655"/>
      <c r="L333" s="332">
        <f t="shared" si="64"/>
        <v>0</v>
      </c>
      <c r="M333" s="2"/>
      <c r="N333" s="2"/>
      <c r="O333" s="2"/>
      <c r="P333" s="2"/>
      <c r="Q333" s="2"/>
      <c r="R333" s="2"/>
      <c r="S333" s="2"/>
      <c r="T333" s="2"/>
      <c r="U333" s="2"/>
      <c r="V333" s="2"/>
      <c r="W333" s="2"/>
      <c r="X333" s="2"/>
      <c r="Y333" s="2"/>
      <c r="Z333" s="2"/>
      <c r="AA333" s="2"/>
      <c r="AB333" s="2"/>
      <c r="AC333" s="2"/>
      <c r="AD333" s="2"/>
      <c r="AE333" s="2"/>
      <c r="AF333" s="2"/>
      <c r="AG333" s="2"/>
      <c r="AH333" s="2"/>
      <c r="AI333" s="2"/>
      <c r="AJ333" s="2"/>
      <c r="AK333" s="2"/>
    </row>
    <row r="334" spans="2:37">
      <c r="B334" s="1" t="s">
        <v>47</v>
      </c>
      <c r="C334" s="337">
        <v>28</v>
      </c>
      <c r="D334" s="336">
        <v>0</v>
      </c>
      <c r="E334" s="327"/>
      <c r="F334" s="652">
        <v>0</v>
      </c>
      <c r="G334" s="653"/>
      <c r="H334" s="330">
        <f t="shared" si="63"/>
        <v>0</v>
      </c>
      <c r="J334" s="652">
        <v>0</v>
      </c>
      <c r="K334" s="653"/>
      <c r="L334" s="330">
        <f t="shared" si="64"/>
        <v>0</v>
      </c>
      <c r="M334" s="2"/>
      <c r="N334" s="2"/>
      <c r="O334" s="2"/>
      <c r="P334" s="2"/>
      <c r="Q334" s="2"/>
      <c r="R334" s="2"/>
      <c r="S334" s="2"/>
      <c r="T334" s="2"/>
      <c r="U334" s="2"/>
      <c r="V334" s="2"/>
      <c r="W334" s="2"/>
      <c r="X334" s="2"/>
      <c r="Y334" s="2"/>
      <c r="Z334" s="2"/>
      <c r="AA334" s="2"/>
      <c r="AB334" s="2"/>
      <c r="AC334" s="2"/>
      <c r="AD334" s="2"/>
      <c r="AE334" s="2"/>
      <c r="AF334" s="2"/>
      <c r="AG334" s="2"/>
      <c r="AH334" s="2"/>
      <c r="AI334" s="2"/>
      <c r="AJ334" s="2"/>
      <c r="AK334" s="2"/>
    </row>
    <row r="335" spans="2:37">
      <c r="B335" s="324" t="s">
        <v>48</v>
      </c>
      <c r="C335" s="338"/>
      <c r="D335" s="331">
        <f>SUM([1]C029!$C$43:$C$63)</f>
        <v>0</v>
      </c>
      <c r="E335" s="327"/>
      <c r="F335" s="656">
        <f>SUM([1]C029!$D$43:$D$63)</f>
        <v>0</v>
      </c>
      <c r="G335" s="655"/>
      <c r="H335" s="332">
        <f t="shared" si="63"/>
        <v>0</v>
      </c>
      <c r="J335" s="656">
        <f>SUM([1]C029!$E$43:$E$63)</f>
        <v>0</v>
      </c>
      <c r="K335" s="655"/>
      <c r="L335" s="332">
        <f t="shared" si="64"/>
        <v>0</v>
      </c>
      <c r="M335" s="2"/>
      <c r="N335" s="2"/>
      <c r="O335" s="2"/>
      <c r="P335" s="2"/>
      <c r="Q335" s="2"/>
      <c r="R335" s="2"/>
      <c r="S335" s="2"/>
      <c r="T335" s="2"/>
      <c r="U335" s="2"/>
      <c r="V335" s="2"/>
      <c r="W335" s="2"/>
      <c r="X335" s="2"/>
      <c r="Y335" s="2"/>
      <c r="Z335" s="2"/>
      <c r="AA335" s="2"/>
      <c r="AB335" s="2"/>
      <c r="AC335" s="2"/>
      <c r="AD335" s="2"/>
      <c r="AE335" s="2"/>
      <c r="AF335" s="2"/>
      <c r="AG335" s="2"/>
      <c r="AH335" s="2"/>
      <c r="AI335" s="2"/>
      <c r="AJ335" s="2"/>
      <c r="AK335" s="2"/>
    </row>
    <row r="336" spans="2:37">
      <c r="B336" s="1" t="s">
        <v>37</v>
      </c>
      <c r="C336" s="337"/>
      <c r="D336" s="334">
        <f>SUM([1]C030!$C$47:$C$68)</f>
        <v>157021</v>
      </c>
      <c r="E336" s="327"/>
      <c r="F336" s="671">
        <f>SUM([1]C030!$D$47:$D$68)</f>
        <v>96625</v>
      </c>
      <c r="G336" s="653"/>
      <c r="H336" s="330">
        <f t="shared" si="63"/>
        <v>-0.38</v>
      </c>
      <c r="J336" s="671">
        <f>SUM([1]C030!$E$47:$E$68)</f>
        <v>275168</v>
      </c>
      <c r="K336" s="653"/>
      <c r="L336" s="330">
        <f t="shared" si="64"/>
        <v>1.85</v>
      </c>
      <c r="M336" s="2"/>
      <c r="N336" s="2"/>
      <c r="O336" s="2"/>
      <c r="P336" s="2"/>
      <c r="Q336" s="2"/>
      <c r="R336" s="2"/>
      <c r="S336" s="2"/>
      <c r="T336" s="2"/>
      <c r="U336" s="2"/>
      <c r="V336" s="2"/>
      <c r="W336" s="2"/>
      <c r="X336" s="2"/>
      <c r="Y336" s="2"/>
      <c r="Z336" s="2"/>
      <c r="AA336" s="2"/>
      <c r="AB336" s="2"/>
      <c r="AC336" s="2"/>
      <c r="AD336" s="2"/>
      <c r="AE336" s="2"/>
      <c r="AF336" s="2"/>
      <c r="AG336" s="2"/>
      <c r="AH336" s="2"/>
      <c r="AI336" s="2"/>
      <c r="AJ336" s="2"/>
      <c r="AK336" s="2"/>
    </row>
    <row r="337" spans="2:37">
      <c r="B337" s="324" t="s">
        <v>49</v>
      </c>
      <c r="C337" s="338"/>
      <c r="D337" s="339">
        <v>0</v>
      </c>
      <c r="E337" s="327"/>
      <c r="F337" s="654">
        <v>0</v>
      </c>
      <c r="G337" s="655"/>
      <c r="H337" s="332">
        <f t="shared" si="63"/>
        <v>0</v>
      </c>
      <c r="J337" s="654">
        <v>0</v>
      </c>
      <c r="K337" s="655"/>
      <c r="L337" s="332">
        <f t="shared" si="64"/>
        <v>0</v>
      </c>
      <c r="M337" s="2"/>
      <c r="N337" s="2"/>
      <c r="O337" s="2"/>
      <c r="P337" s="2"/>
      <c r="Q337" s="2"/>
      <c r="R337" s="2"/>
      <c r="S337" s="2"/>
      <c r="T337" s="2"/>
      <c r="U337" s="2"/>
      <c r="V337" s="2"/>
      <c r="W337" s="2"/>
      <c r="X337" s="2"/>
      <c r="Y337" s="2"/>
      <c r="Z337" s="2"/>
      <c r="AA337" s="2"/>
      <c r="AB337" s="2"/>
      <c r="AC337" s="2"/>
      <c r="AD337" s="2"/>
      <c r="AE337" s="2"/>
      <c r="AF337" s="2"/>
      <c r="AG337" s="2"/>
      <c r="AH337" s="2"/>
      <c r="AI337" s="2"/>
      <c r="AJ337" s="2"/>
      <c r="AK337" s="2"/>
    </row>
    <row r="338" spans="2:37">
      <c r="B338" s="1" t="s">
        <v>137</v>
      </c>
      <c r="C338" s="337"/>
      <c r="D338" s="334">
        <f>SUM([1]C034!$C$52:$C$71)</f>
        <v>0</v>
      </c>
      <c r="E338" s="327"/>
      <c r="F338" s="671">
        <f>SUM([1]C034!$D$52:$D$71)</f>
        <v>0</v>
      </c>
      <c r="G338" s="653"/>
      <c r="H338" s="330">
        <f t="shared" si="63"/>
        <v>0</v>
      </c>
      <c r="J338" s="671">
        <f>SUM([1]C034!$E$52:$E$71)</f>
        <v>0</v>
      </c>
      <c r="K338" s="653"/>
      <c r="L338" s="330">
        <f t="shared" si="64"/>
        <v>0</v>
      </c>
      <c r="M338" s="2"/>
      <c r="N338" s="2"/>
      <c r="O338" s="2"/>
      <c r="P338" s="2"/>
      <c r="Q338" s="2"/>
      <c r="R338" s="2"/>
      <c r="S338" s="2"/>
      <c r="T338" s="2"/>
      <c r="U338" s="2"/>
      <c r="V338" s="2"/>
      <c r="W338" s="2"/>
      <c r="X338" s="2"/>
      <c r="Y338" s="2"/>
      <c r="Z338" s="2"/>
      <c r="AA338" s="2"/>
      <c r="AB338" s="2"/>
      <c r="AC338" s="2"/>
      <c r="AD338" s="2"/>
      <c r="AE338" s="2"/>
      <c r="AF338" s="2"/>
      <c r="AG338" s="2"/>
      <c r="AH338" s="2"/>
      <c r="AI338" s="2"/>
      <c r="AJ338" s="2"/>
      <c r="AK338" s="2"/>
    </row>
    <row r="339" spans="2:37" ht="15.75">
      <c r="B339" s="324" t="s">
        <v>178</v>
      </c>
      <c r="C339" s="338">
        <v>35</v>
      </c>
      <c r="D339" s="331">
        <f>SUM([1]C035!$C$53:$C$73)</f>
        <v>4817</v>
      </c>
      <c r="E339" s="327"/>
      <c r="F339" s="656">
        <f>SUM([1]C035!$D$53:$D$73)</f>
        <v>12385</v>
      </c>
      <c r="G339" s="655"/>
      <c r="H339" s="332">
        <f t="shared" si="63"/>
        <v>1.57</v>
      </c>
      <c r="J339" s="656">
        <f>SUM([1]C035!$E$53:$E$73)</f>
        <v>125522</v>
      </c>
      <c r="K339" s="655"/>
      <c r="L339" s="332">
        <f t="shared" si="64"/>
        <v>9.14</v>
      </c>
      <c r="M339" s="2"/>
      <c r="N339" s="2"/>
      <c r="O339" s="2"/>
      <c r="P339" s="2"/>
      <c r="Q339" s="2"/>
      <c r="R339" s="2"/>
      <c r="S339" s="2"/>
      <c r="T339" s="2"/>
      <c r="U339" s="2"/>
      <c r="V339" s="2"/>
      <c r="W339" s="2"/>
      <c r="X339" s="2"/>
      <c r="Y339" s="2"/>
      <c r="Z339" s="2"/>
      <c r="AA339" s="2"/>
      <c r="AB339" s="2"/>
      <c r="AC339" s="2"/>
      <c r="AD339" s="2"/>
      <c r="AE339" s="2"/>
      <c r="AF339" s="2"/>
      <c r="AG339" s="2"/>
      <c r="AH339" s="2"/>
      <c r="AI339" s="2"/>
      <c r="AJ339" s="2"/>
      <c r="AK339" s="2"/>
    </row>
    <row r="340" spans="2:37">
      <c r="B340" s="1" t="s">
        <v>50</v>
      </c>
      <c r="C340" s="337">
        <v>42</v>
      </c>
      <c r="D340" s="336">
        <v>0</v>
      </c>
      <c r="E340" s="327"/>
      <c r="F340" s="652">
        <v>0</v>
      </c>
      <c r="G340" s="653"/>
      <c r="H340" s="330">
        <f t="shared" si="63"/>
        <v>0</v>
      </c>
      <c r="J340" s="652">
        <v>0</v>
      </c>
      <c r="K340" s="653"/>
      <c r="L340" s="330">
        <f t="shared" si="64"/>
        <v>0</v>
      </c>
      <c r="M340" s="2"/>
      <c r="R340" s="2"/>
      <c r="S340" s="2"/>
      <c r="T340" s="2"/>
      <c r="U340" s="2"/>
      <c r="V340" s="2"/>
      <c r="W340" s="2"/>
      <c r="X340" s="2"/>
      <c r="Y340" s="2"/>
      <c r="Z340" s="2"/>
      <c r="AA340" s="2"/>
      <c r="AB340" s="2"/>
      <c r="AC340" s="2"/>
      <c r="AD340" s="2"/>
      <c r="AE340" s="2"/>
      <c r="AF340" s="2"/>
      <c r="AG340" s="2"/>
      <c r="AH340" s="2"/>
      <c r="AI340" s="2"/>
      <c r="AJ340" s="2"/>
      <c r="AK340" s="2"/>
    </row>
    <row r="341" spans="2:37">
      <c r="B341" s="324" t="s">
        <v>51</v>
      </c>
      <c r="C341" s="338"/>
      <c r="D341" s="331">
        <f>[1]C044!$C$35</f>
        <v>0</v>
      </c>
      <c r="E341" s="327"/>
      <c r="F341" s="656">
        <f>[1]C044!$D$35</f>
        <v>0</v>
      </c>
      <c r="G341" s="655"/>
      <c r="H341" s="332">
        <f t="shared" si="63"/>
        <v>0</v>
      </c>
      <c r="J341" s="656">
        <f>[1]C044!$E$35</f>
        <v>0</v>
      </c>
      <c r="K341" s="655"/>
      <c r="L341" s="332">
        <f t="shared" si="64"/>
        <v>0</v>
      </c>
      <c r="M341" s="2"/>
      <c r="R341" s="2"/>
      <c r="S341" s="2"/>
      <c r="T341" s="2"/>
      <c r="U341" s="2"/>
      <c r="V341" s="2"/>
      <c r="W341" s="2"/>
      <c r="X341" s="2"/>
      <c r="Y341" s="2"/>
      <c r="Z341" s="2"/>
      <c r="AA341" s="2"/>
      <c r="AB341" s="2"/>
      <c r="AC341" s="2"/>
      <c r="AD341" s="2"/>
      <c r="AE341" s="2"/>
      <c r="AF341" s="2"/>
      <c r="AG341" s="2"/>
      <c r="AH341" s="2"/>
      <c r="AI341" s="2"/>
      <c r="AJ341" s="2"/>
      <c r="AK341" s="2"/>
    </row>
    <row r="342" spans="2:37">
      <c r="B342" s="45" t="s">
        <v>52</v>
      </c>
      <c r="C342" s="340">
        <v>45</v>
      </c>
      <c r="D342" s="341">
        <v>0</v>
      </c>
      <c r="E342" s="327"/>
      <c r="F342" s="652">
        <v>0</v>
      </c>
      <c r="G342" s="653"/>
      <c r="H342" s="330">
        <f t="shared" si="63"/>
        <v>0</v>
      </c>
      <c r="J342" s="652">
        <v>0</v>
      </c>
      <c r="K342" s="653"/>
      <c r="L342" s="330">
        <f t="shared" si="64"/>
        <v>0</v>
      </c>
      <c r="M342" s="2"/>
      <c r="R342" s="2"/>
      <c r="S342" s="2"/>
      <c r="T342" s="2"/>
      <c r="U342" s="2"/>
      <c r="V342" s="2"/>
      <c r="W342" s="2"/>
      <c r="X342" s="2"/>
      <c r="Y342" s="2"/>
      <c r="Z342" s="2"/>
      <c r="AA342" s="2"/>
      <c r="AB342" s="2"/>
      <c r="AC342" s="2"/>
      <c r="AD342" s="2"/>
      <c r="AE342" s="2"/>
      <c r="AF342" s="2"/>
      <c r="AG342" s="2"/>
      <c r="AH342" s="2"/>
      <c r="AI342" s="2"/>
      <c r="AJ342" s="2"/>
      <c r="AK342" s="2"/>
    </row>
    <row r="343" spans="2:37">
      <c r="B343" s="342" t="s">
        <v>53</v>
      </c>
      <c r="C343" s="343">
        <v>46</v>
      </c>
      <c r="D343" s="344">
        <v>0</v>
      </c>
      <c r="E343" s="327"/>
      <c r="F343" s="654">
        <v>0</v>
      </c>
      <c r="G343" s="655"/>
      <c r="H343" s="332">
        <f t="shared" si="63"/>
        <v>0</v>
      </c>
      <c r="J343" s="676"/>
      <c r="K343" s="677"/>
      <c r="L343" s="345"/>
      <c r="M343" s="2"/>
      <c r="R343" s="2"/>
      <c r="S343" s="2"/>
      <c r="T343" s="2"/>
      <c r="U343" s="2"/>
      <c r="V343" s="2"/>
      <c r="W343" s="2"/>
      <c r="X343" s="2"/>
      <c r="Y343" s="2"/>
      <c r="Z343" s="2"/>
      <c r="AA343" s="2"/>
      <c r="AB343" s="2"/>
      <c r="AC343" s="2"/>
      <c r="AD343" s="2"/>
      <c r="AE343" s="2"/>
      <c r="AF343" s="2"/>
      <c r="AG343" s="2"/>
      <c r="AH343" s="2"/>
      <c r="AI343" s="2"/>
      <c r="AJ343" s="2"/>
      <c r="AK343" s="2"/>
    </row>
    <row r="344" spans="2:37">
      <c r="B344" s="45" t="s">
        <v>54</v>
      </c>
      <c r="C344" s="340"/>
      <c r="D344" s="329">
        <f>[1]C051!$C$19</f>
        <v>52040</v>
      </c>
      <c r="E344" s="327"/>
      <c r="F344" s="671">
        <f>[1]C051!$D$19</f>
        <v>43702</v>
      </c>
      <c r="G344" s="653"/>
      <c r="H344" s="330">
        <f t="shared" si="63"/>
        <v>-0.16</v>
      </c>
      <c r="J344" s="671">
        <f>[1]C051!$E$19</f>
        <v>59684</v>
      </c>
      <c r="K344" s="653"/>
      <c r="L344" s="330">
        <f>IF(F344=0,0,((J344-F344)/F344))</f>
        <v>0.37</v>
      </c>
      <c r="M344" s="2"/>
      <c r="R344" s="2"/>
      <c r="S344" s="2"/>
      <c r="T344" s="2"/>
      <c r="U344" s="2"/>
      <c r="V344" s="2"/>
      <c r="W344" s="2"/>
      <c r="X344" s="2"/>
      <c r="Y344" s="2"/>
      <c r="Z344" s="2"/>
      <c r="AA344" s="2"/>
      <c r="AB344" s="2"/>
      <c r="AC344" s="2"/>
      <c r="AD344" s="2"/>
      <c r="AE344" s="2"/>
      <c r="AF344" s="2"/>
      <c r="AG344" s="2"/>
      <c r="AH344" s="2"/>
      <c r="AI344" s="2"/>
      <c r="AJ344" s="2"/>
      <c r="AK344" s="2"/>
    </row>
    <row r="345" spans="2:37">
      <c r="B345" s="342" t="s">
        <v>55</v>
      </c>
      <c r="C345" s="343"/>
      <c r="D345" s="346">
        <f>SUM([1]C053!$C$31:$C$51)</f>
        <v>0</v>
      </c>
      <c r="E345" s="327"/>
      <c r="F345" s="656">
        <f>SUM([1]C053!$D$31:$D$51)</f>
        <v>933368</v>
      </c>
      <c r="G345" s="655"/>
      <c r="H345" s="332">
        <f t="shared" si="63"/>
        <v>0</v>
      </c>
      <c r="J345" s="678"/>
      <c r="K345" s="679"/>
      <c r="L345" s="347"/>
      <c r="M345" s="2"/>
      <c r="N345" s="2"/>
      <c r="O345" s="2"/>
      <c r="P345" s="2"/>
      <c r="Q345" s="2"/>
      <c r="R345" s="2"/>
      <c r="S345" s="2"/>
      <c r="T345" s="2"/>
      <c r="U345" s="2"/>
      <c r="V345" s="2"/>
      <c r="W345" s="2"/>
      <c r="X345" s="2"/>
      <c r="Y345" s="2"/>
      <c r="Z345" s="2"/>
      <c r="AA345" s="2"/>
      <c r="AB345" s="2"/>
      <c r="AC345" s="2"/>
      <c r="AD345" s="2"/>
      <c r="AE345" s="2"/>
      <c r="AF345" s="2"/>
      <c r="AG345" s="2"/>
      <c r="AH345" s="2"/>
      <c r="AI345" s="2"/>
      <c r="AJ345" s="2"/>
      <c r="AK345" s="2"/>
    </row>
    <row r="346" spans="2:37">
      <c r="B346" s="45" t="s">
        <v>56</v>
      </c>
      <c r="C346" s="340"/>
      <c r="D346" s="329">
        <f>SUM([1]C055!$C$30:$C$34)</f>
        <v>367</v>
      </c>
      <c r="E346" s="327"/>
      <c r="F346" s="671">
        <f>SUM([1]C055!$D$30:$D$34)</f>
        <v>4674</v>
      </c>
      <c r="G346" s="653"/>
      <c r="H346" s="330">
        <f t="shared" si="63"/>
        <v>11.74</v>
      </c>
      <c r="J346" s="680"/>
      <c r="K346" s="681"/>
      <c r="L346" s="348"/>
      <c r="M346" s="2"/>
      <c r="R346" s="2"/>
      <c r="S346" s="2"/>
      <c r="T346" s="2"/>
      <c r="U346" s="2"/>
      <c r="V346" s="2"/>
      <c r="W346" s="2"/>
      <c r="X346" s="2"/>
      <c r="Y346" s="2"/>
      <c r="Z346" s="2"/>
      <c r="AA346" s="2"/>
      <c r="AB346" s="2"/>
      <c r="AC346" s="2"/>
      <c r="AD346" s="2"/>
      <c r="AE346" s="2"/>
      <c r="AF346" s="2"/>
      <c r="AG346" s="2"/>
      <c r="AH346" s="2"/>
      <c r="AI346" s="2"/>
      <c r="AJ346" s="2"/>
      <c r="AK346" s="2"/>
    </row>
    <row r="347" spans="2:37">
      <c r="B347" s="342" t="s">
        <v>57</v>
      </c>
      <c r="C347" s="343"/>
      <c r="D347" s="346">
        <f>SUM([1]C056!$C$36:$C$45)</f>
        <v>4637</v>
      </c>
      <c r="E347" s="327"/>
      <c r="F347" s="656">
        <f>SUM([1]C056!$D$36:$D$45)</f>
        <v>31831</v>
      </c>
      <c r="G347" s="655"/>
      <c r="H347" s="332">
        <f t="shared" si="63"/>
        <v>5.86</v>
      </c>
      <c r="J347" s="682"/>
      <c r="K347" s="683"/>
      <c r="L347" s="349"/>
      <c r="M347" s="2"/>
      <c r="R347" s="2"/>
      <c r="S347" s="2"/>
      <c r="T347" s="2"/>
      <c r="U347" s="2"/>
      <c r="V347" s="2"/>
      <c r="W347" s="2"/>
      <c r="X347" s="2"/>
      <c r="Y347" s="2"/>
      <c r="Z347" s="2"/>
      <c r="AA347" s="2"/>
      <c r="AB347" s="2"/>
      <c r="AC347" s="2"/>
      <c r="AD347" s="2"/>
      <c r="AE347" s="2"/>
      <c r="AF347" s="2"/>
      <c r="AG347" s="2"/>
      <c r="AH347" s="2"/>
      <c r="AI347" s="2"/>
      <c r="AJ347" s="2"/>
      <c r="AK347" s="2"/>
    </row>
    <row r="348" spans="2:37">
      <c r="B348" s="350" t="str">
        <f>B1118</f>
        <v>Bond and Interest #1</v>
      </c>
      <c r="C348" s="340">
        <v>62</v>
      </c>
      <c r="D348" s="341">
        <v>0</v>
      </c>
      <c r="E348" s="327"/>
      <c r="F348" s="652">
        <v>0</v>
      </c>
      <c r="G348" s="653"/>
      <c r="H348" s="330">
        <f t="shared" si="63"/>
        <v>0</v>
      </c>
      <c r="J348" s="652">
        <v>0</v>
      </c>
      <c r="K348" s="653"/>
      <c r="L348" s="330">
        <f t="shared" ref="L348:L359" si="65">IF(F348=0,0,((J348-F348)/F348))</f>
        <v>0</v>
      </c>
      <c r="M348" s="2"/>
      <c r="R348" s="2"/>
      <c r="S348" s="2"/>
      <c r="T348" s="2"/>
      <c r="U348" s="2"/>
      <c r="V348" s="2"/>
      <c r="W348" s="2"/>
      <c r="X348" s="2"/>
      <c r="Y348" s="2"/>
      <c r="Z348" s="2"/>
      <c r="AA348" s="2"/>
      <c r="AB348" s="2"/>
      <c r="AC348" s="2"/>
      <c r="AD348" s="2"/>
      <c r="AE348" s="2"/>
      <c r="AF348" s="2"/>
      <c r="AG348" s="2"/>
      <c r="AH348" s="2"/>
      <c r="AI348" s="2"/>
      <c r="AJ348" s="2"/>
      <c r="AK348" s="2"/>
    </row>
    <row r="349" spans="2:37">
      <c r="B349" s="351" t="str">
        <f>B1119</f>
        <v>Bond and Interest #2</v>
      </c>
      <c r="C349" s="343">
        <v>63</v>
      </c>
      <c r="D349" s="344">
        <v>0</v>
      </c>
      <c r="E349" s="327"/>
      <c r="F349" s="654">
        <v>0</v>
      </c>
      <c r="G349" s="655"/>
      <c r="H349" s="332">
        <f t="shared" si="63"/>
        <v>0</v>
      </c>
      <c r="J349" s="654">
        <v>0</v>
      </c>
      <c r="K349" s="655"/>
      <c r="L349" s="332">
        <f t="shared" si="65"/>
        <v>0</v>
      </c>
      <c r="M349" s="2"/>
      <c r="N349" s="2"/>
      <c r="O349" s="2"/>
      <c r="P349" s="2"/>
      <c r="Q349" s="2"/>
      <c r="R349" s="2"/>
      <c r="S349" s="2"/>
      <c r="T349" s="2"/>
      <c r="U349" s="2"/>
      <c r="V349" s="2"/>
      <c r="W349" s="2"/>
      <c r="X349" s="2"/>
      <c r="Y349" s="2"/>
      <c r="Z349" s="2"/>
      <c r="AA349" s="2"/>
      <c r="AB349" s="2"/>
      <c r="AC349" s="2"/>
      <c r="AD349" s="2"/>
      <c r="AE349" s="2"/>
      <c r="AF349" s="2"/>
      <c r="AG349" s="2"/>
      <c r="AH349" s="2"/>
      <c r="AI349" s="2"/>
      <c r="AJ349" s="2"/>
      <c r="AK349" s="2"/>
    </row>
    <row r="350" spans="2:37">
      <c r="B350" s="45" t="s">
        <v>58</v>
      </c>
      <c r="C350" s="340">
        <v>66</v>
      </c>
      <c r="D350" s="341">
        <v>0</v>
      </c>
      <c r="E350" s="327"/>
      <c r="F350" s="652">
        <v>0</v>
      </c>
      <c r="G350" s="653"/>
      <c r="H350" s="330">
        <f t="shared" si="63"/>
        <v>0</v>
      </c>
      <c r="J350" s="652">
        <v>0</v>
      </c>
      <c r="K350" s="653"/>
      <c r="L350" s="330">
        <f t="shared" si="65"/>
        <v>0</v>
      </c>
      <c r="M350" s="2"/>
      <c r="N350" s="2"/>
      <c r="O350" s="2"/>
      <c r="P350" s="2"/>
      <c r="Q350" s="2"/>
      <c r="R350" s="2"/>
      <c r="S350" s="2"/>
      <c r="T350" s="2"/>
      <c r="U350" s="2"/>
      <c r="V350" s="2"/>
      <c r="W350" s="2"/>
      <c r="X350" s="2"/>
      <c r="Y350" s="2"/>
      <c r="Z350" s="2"/>
      <c r="AA350" s="2"/>
      <c r="AB350" s="2"/>
      <c r="AC350" s="2"/>
      <c r="AD350" s="2"/>
      <c r="AE350" s="2"/>
      <c r="AF350" s="2"/>
      <c r="AG350" s="2"/>
      <c r="AH350" s="2"/>
      <c r="AI350" s="2"/>
      <c r="AJ350" s="2"/>
      <c r="AK350" s="2"/>
    </row>
    <row r="351" spans="2:37">
      <c r="B351" s="342" t="s">
        <v>59</v>
      </c>
      <c r="C351" s="343">
        <v>67</v>
      </c>
      <c r="D351" s="344">
        <v>0</v>
      </c>
      <c r="E351" s="327"/>
      <c r="F351" s="654">
        <v>0</v>
      </c>
      <c r="G351" s="655"/>
      <c r="H351" s="332">
        <f t="shared" si="63"/>
        <v>0</v>
      </c>
      <c r="J351" s="654">
        <v>0</v>
      </c>
      <c r="K351" s="655"/>
      <c r="L351" s="332">
        <f t="shared" si="65"/>
        <v>0</v>
      </c>
      <c r="M351" s="2"/>
      <c r="R351" s="2"/>
      <c r="S351" s="2"/>
      <c r="T351" s="2"/>
      <c r="U351" s="2"/>
      <c r="V351" s="2"/>
      <c r="W351" s="2"/>
      <c r="X351" s="2"/>
      <c r="Y351" s="2"/>
      <c r="Z351" s="2"/>
      <c r="AA351" s="2"/>
      <c r="AB351" s="2"/>
      <c r="AC351" s="2"/>
      <c r="AD351" s="2"/>
      <c r="AE351" s="2"/>
      <c r="AF351" s="2"/>
      <c r="AG351" s="2"/>
      <c r="AH351" s="2"/>
      <c r="AI351" s="2"/>
      <c r="AJ351" s="2"/>
      <c r="AK351" s="2"/>
    </row>
    <row r="352" spans="2:37" ht="15" thickBot="1">
      <c r="B352" s="45" t="s">
        <v>60</v>
      </c>
      <c r="C352" s="340">
        <v>68</v>
      </c>
      <c r="D352" s="341">
        <v>0</v>
      </c>
      <c r="E352" s="327"/>
      <c r="F352" s="669">
        <v>0</v>
      </c>
      <c r="G352" s="670"/>
      <c r="H352" s="247">
        <f t="shared" si="63"/>
        <v>0</v>
      </c>
      <c r="J352" s="669">
        <v>0</v>
      </c>
      <c r="K352" s="670"/>
      <c r="L352" s="247">
        <f t="shared" si="65"/>
        <v>0</v>
      </c>
      <c r="M352" s="2"/>
      <c r="R352" s="2"/>
      <c r="S352" s="2"/>
      <c r="T352" s="2"/>
      <c r="U352" s="2"/>
      <c r="V352" s="2"/>
      <c r="W352" s="2"/>
      <c r="X352" s="2"/>
      <c r="Y352" s="2"/>
      <c r="Z352" s="2"/>
      <c r="AA352" s="2"/>
      <c r="AB352" s="2"/>
      <c r="AC352" s="2"/>
      <c r="AD352" s="2"/>
      <c r="AE352" s="2"/>
      <c r="AF352" s="2"/>
      <c r="AG352" s="2"/>
      <c r="AH352" s="2"/>
      <c r="AI352" s="2"/>
      <c r="AJ352" s="2"/>
      <c r="AK352" s="2"/>
    </row>
    <row r="353" spans="2:37" ht="15" thickTop="1">
      <c r="B353" s="352" t="s">
        <v>61</v>
      </c>
      <c r="C353" s="353"/>
      <c r="D353" s="354">
        <f>SUM(D321:D352)</f>
        <v>938685</v>
      </c>
      <c r="E353" s="327"/>
      <c r="F353" s="774">
        <f>SUM(F321:G352)</f>
        <v>1968697</v>
      </c>
      <c r="G353" s="775"/>
      <c r="H353" s="355">
        <f t="shared" si="63"/>
        <v>1.1000000000000001</v>
      </c>
      <c r="J353" s="774">
        <f>SUM(J321:K352)</f>
        <v>1412804</v>
      </c>
      <c r="K353" s="775"/>
      <c r="L353" s="355">
        <f t="shared" si="65"/>
        <v>-0.28000000000000003</v>
      </c>
      <c r="M353" s="2"/>
      <c r="N353" s="2"/>
      <c r="O353" s="2"/>
      <c r="P353" s="2"/>
      <c r="Q353" s="2"/>
      <c r="R353" s="2"/>
      <c r="S353" s="2"/>
      <c r="T353" s="2"/>
      <c r="U353" s="2"/>
      <c r="V353" s="2"/>
      <c r="W353" s="2"/>
      <c r="X353" s="2"/>
      <c r="Y353" s="2"/>
      <c r="Z353" s="2"/>
      <c r="AA353" s="2"/>
      <c r="AB353" s="2"/>
      <c r="AC353" s="2"/>
      <c r="AD353" s="2"/>
      <c r="AE353" s="2"/>
      <c r="AF353" s="2"/>
      <c r="AG353" s="2"/>
      <c r="AH353" s="2"/>
      <c r="AI353" s="2"/>
      <c r="AJ353" s="2"/>
      <c r="AK353" s="2"/>
    </row>
    <row r="354" spans="2:37" ht="15.75">
      <c r="B354" s="45" t="s">
        <v>181</v>
      </c>
      <c r="C354" s="45"/>
      <c r="D354" s="356">
        <f>G1312</f>
        <v>70.7</v>
      </c>
      <c r="E354" s="327"/>
      <c r="F354" s="665">
        <f>I1312</f>
        <v>82.5</v>
      </c>
      <c r="G354" s="666"/>
      <c r="H354" s="247">
        <f t="shared" si="63"/>
        <v>0.17</v>
      </c>
      <c r="J354" s="665">
        <f>K1312</f>
        <v>70</v>
      </c>
      <c r="K354" s="666"/>
      <c r="L354" s="247">
        <f t="shared" si="65"/>
        <v>-0.15</v>
      </c>
      <c r="M354" s="2"/>
      <c r="N354" s="2"/>
      <c r="O354" s="2"/>
      <c r="P354" s="2"/>
      <c r="Q354" s="2"/>
      <c r="R354" s="2"/>
      <c r="S354" s="2"/>
      <c r="T354" s="2"/>
      <c r="U354" s="2"/>
      <c r="V354" s="2"/>
      <c r="W354" s="2"/>
      <c r="X354" s="2"/>
      <c r="Y354" s="2"/>
      <c r="Z354" s="2"/>
      <c r="AA354" s="2"/>
      <c r="AB354" s="2"/>
      <c r="AC354" s="2"/>
      <c r="AD354" s="2"/>
      <c r="AE354" s="2"/>
      <c r="AF354" s="2"/>
      <c r="AG354" s="2"/>
      <c r="AH354" s="2"/>
      <c r="AI354" s="2"/>
      <c r="AJ354" s="2"/>
      <c r="AK354" s="2"/>
    </row>
    <row r="355" spans="2:37" ht="16.5" thickBot="1">
      <c r="B355" s="342" t="s">
        <v>182</v>
      </c>
      <c r="C355" s="342"/>
      <c r="D355" s="346">
        <f>IF(D353=0,0,D353/D354)</f>
        <v>13277</v>
      </c>
      <c r="E355" s="327"/>
      <c r="F355" s="663">
        <f>IF(F353=0,0,F353/F354)</f>
        <v>23863</v>
      </c>
      <c r="G355" s="664"/>
      <c r="H355" s="357">
        <f t="shared" si="63"/>
        <v>0.8</v>
      </c>
      <c r="J355" s="663">
        <f>IF(J353=0,0,J353/J354)</f>
        <v>20183</v>
      </c>
      <c r="K355" s="664"/>
      <c r="L355" s="357">
        <f t="shared" si="65"/>
        <v>-0.15</v>
      </c>
      <c r="M355" s="2"/>
      <c r="R355" s="2"/>
      <c r="S355" s="2"/>
      <c r="T355" s="2"/>
      <c r="U355" s="2"/>
      <c r="V355" s="2"/>
      <c r="W355" s="2"/>
      <c r="X355" s="2"/>
      <c r="Y355" s="2"/>
      <c r="Z355" s="2"/>
      <c r="AA355" s="2"/>
      <c r="AB355" s="2"/>
      <c r="AC355" s="2"/>
      <c r="AD355" s="2"/>
      <c r="AE355" s="2"/>
      <c r="AF355" s="2"/>
      <c r="AG355" s="2"/>
      <c r="AH355" s="2"/>
      <c r="AI355" s="2"/>
      <c r="AJ355" s="2"/>
      <c r="AK355" s="2"/>
    </row>
    <row r="356" spans="2:37">
      <c r="B356" s="358" t="s">
        <v>63</v>
      </c>
      <c r="C356" s="358"/>
      <c r="D356" s="359">
        <f>SUM([1]C010!$C$68:$C$85)</f>
        <v>0</v>
      </c>
      <c r="E356" s="327"/>
      <c r="F356" s="769">
        <f>SUM([1]C010!$D$68:$D$85)</f>
        <v>0</v>
      </c>
      <c r="G356" s="662"/>
      <c r="H356" s="360">
        <f t="shared" si="63"/>
        <v>0</v>
      </c>
      <c r="J356" s="769">
        <f>SUM([1]C010!$E$68:$E$85)</f>
        <v>0</v>
      </c>
      <c r="K356" s="662"/>
      <c r="L356" s="360">
        <f t="shared" si="65"/>
        <v>0</v>
      </c>
      <c r="M356" s="2"/>
      <c r="R356" s="2"/>
      <c r="S356" s="2"/>
      <c r="T356" s="2"/>
      <c r="U356" s="2"/>
      <c r="V356" s="2"/>
      <c r="W356" s="2"/>
      <c r="X356" s="2"/>
      <c r="Y356" s="2"/>
      <c r="Z356" s="2"/>
      <c r="AA356" s="2"/>
      <c r="AB356" s="2"/>
      <c r="AC356" s="2"/>
      <c r="AD356" s="2"/>
      <c r="AE356" s="2"/>
      <c r="AF356" s="2"/>
      <c r="AG356" s="2"/>
      <c r="AH356" s="2"/>
      <c r="AI356" s="2"/>
      <c r="AJ356" s="2"/>
      <c r="AK356" s="2"/>
    </row>
    <row r="357" spans="2:37">
      <c r="B357" s="342" t="s">
        <v>64</v>
      </c>
      <c r="C357" s="342"/>
      <c r="D357" s="331">
        <f>SUM([1]C012!$C$40:$C$58)</f>
        <v>0</v>
      </c>
      <c r="E357" s="327"/>
      <c r="F357" s="656">
        <f>SUM([1]C012!$D$40:$D$58)</f>
        <v>0</v>
      </c>
      <c r="G357" s="655"/>
      <c r="H357" s="332">
        <f t="shared" si="63"/>
        <v>0</v>
      </c>
      <c r="J357" s="656">
        <f>SUM([1]C012!$E$40:$E$58)</f>
        <v>0</v>
      </c>
      <c r="K357" s="655"/>
      <c r="L357" s="332">
        <f t="shared" si="65"/>
        <v>0</v>
      </c>
      <c r="M357" s="2"/>
      <c r="N357" s="2"/>
      <c r="O357" s="165"/>
      <c r="P357" s="165"/>
      <c r="Q357" s="165"/>
      <c r="R357" s="2"/>
      <c r="S357" s="2"/>
      <c r="T357" s="2"/>
      <c r="U357" s="2"/>
      <c r="V357" s="2"/>
      <c r="W357" s="2"/>
      <c r="X357" s="2"/>
      <c r="Y357" s="2"/>
      <c r="Z357" s="2"/>
      <c r="AA357" s="2"/>
      <c r="AB357" s="2"/>
      <c r="AC357" s="2"/>
      <c r="AD357" s="2"/>
      <c r="AE357" s="2"/>
      <c r="AF357" s="2"/>
      <c r="AG357" s="2"/>
      <c r="AH357" s="2"/>
      <c r="AI357" s="2"/>
      <c r="AJ357" s="2"/>
      <c r="AK357" s="2"/>
    </row>
    <row r="358" spans="2:37" ht="15" thickBot="1">
      <c r="B358" s="361" t="s">
        <v>65</v>
      </c>
      <c r="C358" s="361"/>
      <c r="D358" s="362">
        <f>SUM([1]C078!$C$40:$C$59)</f>
        <v>0</v>
      </c>
      <c r="E358" s="327"/>
      <c r="F358" s="684">
        <f>SUM([1]C078!$D$40:$D$59)</f>
        <v>0</v>
      </c>
      <c r="G358" s="660"/>
      <c r="H358" s="363">
        <f t="shared" si="63"/>
        <v>0</v>
      </c>
      <c r="J358" s="684">
        <f>SUM([1]C078!$E$40:$E$59)</f>
        <v>0</v>
      </c>
      <c r="K358" s="660"/>
      <c r="L358" s="363">
        <f t="shared" si="65"/>
        <v>0</v>
      </c>
      <c r="M358" s="2"/>
      <c r="N358" s="2"/>
      <c r="O358" s="165"/>
      <c r="P358" s="165"/>
      <c r="Q358" s="165"/>
      <c r="R358" s="2"/>
      <c r="S358" s="2"/>
      <c r="T358" s="2"/>
      <c r="U358" s="2"/>
      <c r="V358" s="2"/>
      <c r="W358" s="2"/>
      <c r="X358" s="2"/>
      <c r="Y358" s="2"/>
      <c r="Z358" s="2"/>
      <c r="AA358" s="2"/>
      <c r="AB358" s="2"/>
      <c r="AC358" s="2"/>
      <c r="AD358" s="2"/>
      <c r="AE358" s="2"/>
      <c r="AF358" s="2"/>
      <c r="AG358" s="2"/>
      <c r="AH358" s="2"/>
      <c r="AI358" s="2"/>
      <c r="AJ358" s="2"/>
      <c r="AK358" s="2"/>
    </row>
    <row r="359" spans="2:37" ht="17.25" customHeight="1" thickTop="1">
      <c r="B359" s="364" t="s">
        <v>66</v>
      </c>
      <c r="C359" s="365"/>
      <c r="D359" s="366">
        <f>SUM(D356:D358,D353)</f>
        <v>938685</v>
      </c>
      <c r="E359" s="327"/>
      <c r="F359" s="772">
        <f>SUM(F356:F358,F353)</f>
        <v>1968697</v>
      </c>
      <c r="G359" s="773"/>
      <c r="H359" s="367">
        <f t="shared" si="63"/>
        <v>1.1000000000000001</v>
      </c>
      <c r="J359" s="770">
        <f>SUM(J353,J356:K358)</f>
        <v>1412804</v>
      </c>
      <c r="K359" s="771"/>
      <c r="L359" s="367">
        <f t="shared" si="65"/>
        <v>-0.28000000000000003</v>
      </c>
      <c r="M359" s="2"/>
      <c r="R359" s="2"/>
      <c r="S359" s="2"/>
      <c r="T359" s="2"/>
      <c r="U359" s="2"/>
      <c r="V359" s="2"/>
      <c r="W359" s="2"/>
      <c r="X359" s="2"/>
      <c r="Y359" s="2"/>
      <c r="Z359" s="2"/>
      <c r="AA359" s="2"/>
      <c r="AB359" s="2"/>
      <c r="AC359" s="2"/>
      <c r="AD359" s="2"/>
      <c r="AE359" s="2"/>
      <c r="AF359" s="2"/>
      <c r="AG359" s="2"/>
      <c r="AH359" s="2"/>
      <c r="AI359" s="2"/>
      <c r="AJ359" s="2"/>
      <c r="AK359" s="2"/>
    </row>
    <row r="360" spans="2:37" ht="6.75" customHeight="1">
      <c r="B360" s="2"/>
      <c r="C360" s="2"/>
      <c r="D360" s="159"/>
      <c r="E360" s="2"/>
      <c r="F360" s="159"/>
      <c r="G360" s="2"/>
      <c r="H360" s="2"/>
      <c r="I360" s="159"/>
      <c r="J360" s="2"/>
      <c r="K360" s="2"/>
      <c r="L360" s="2"/>
      <c r="M360" s="2"/>
      <c r="R360" s="2"/>
      <c r="S360" s="2"/>
      <c r="T360" s="2"/>
      <c r="U360" s="2"/>
      <c r="V360" s="2"/>
      <c r="W360" s="2"/>
      <c r="X360" s="2"/>
      <c r="Y360" s="2"/>
      <c r="Z360" s="2"/>
      <c r="AA360" s="2"/>
      <c r="AB360" s="2"/>
      <c r="AC360" s="2"/>
      <c r="AD360" s="2"/>
      <c r="AE360" s="2"/>
      <c r="AF360" s="2"/>
      <c r="AG360" s="2"/>
      <c r="AH360" s="2"/>
      <c r="AI360" s="2"/>
      <c r="AJ360" s="2"/>
      <c r="AK360" s="2"/>
    </row>
    <row r="361" spans="2:37">
      <c r="B361" s="647" t="s">
        <v>179</v>
      </c>
      <c r="C361" s="647"/>
      <c r="D361" s="647"/>
      <c r="E361" s="647"/>
      <c r="F361" s="647"/>
      <c r="G361" s="647"/>
      <c r="H361" s="647"/>
      <c r="I361" s="647"/>
      <c r="J361" s="647"/>
      <c r="K361" s="647"/>
      <c r="L361" s="647"/>
      <c r="M361" s="2"/>
      <c r="S361" s="2"/>
      <c r="T361" s="2"/>
      <c r="U361" s="2"/>
      <c r="V361" s="2"/>
      <c r="W361" s="2"/>
      <c r="X361" s="2"/>
      <c r="Y361" s="2"/>
      <c r="Z361" s="2"/>
      <c r="AA361" s="2"/>
      <c r="AB361" s="2"/>
      <c r="AC361" s="2"/>
      <c r="AD361" s="2"/>
      <c r="AE361" s="2"/>
      <c r="AF361" s="2"/>
      <c r="AG361" s="2"/>
      <c r="AH361" s="2"/>
      <c r="AI361" s="2"/>
      <c r="AJ361" s="2"/>
      <c r="AK361" s="2"/>
    </row>
    <row r="362" spans="2:37">
      <c r="B362" s="647" t="s">
        <v>180</v>
      </c>
      <c r="C362" s="647"/>
      <c r="D362" s="647"/>
      <c r="E362" s="647"/>
      <c r="F362" s="647"/>
      <c r="G362" s="647"/>
      <c r="H362" s="647"/>
      <c r="I362" s="647"/>
      <c r="J362" s="647"/>
      <c r="K362" s="647"/>
      <c r="L362" s="647"/>
      <c r="M362" s="2"/>
      <c r="N362" s="2"/>
      <c r="S362" s="2"/>
      <c r="T362" s="2"/>
      <c r="U362" s="2"/>
      <c r="V362" s="2"/>
      <c r="W362" s="2"/>
      <c r="X362" s="2"/>
      <c r="Y362" s="2"/>
      <c r="Z362" s="2"/>
      <c r="AA362" s="2"/>
      <c r="AB362" s="2"/>
      <c r="AC362" s="2"/>
      <c r="AD362" s="2"/>
      <c r="AE362" s="2"/>
      <c r="AF362" s="2"/>
      <c r="AG362" s="2"/>
      <c r="AH362" s="2"/>
      <c r="AI362" s="2"/>
      <c r="AJ362" s="2"/>
      <c r="AK362" s="2"/>
    </row>
    <row r="363" spans="2:37" ht="32.25" customHeight="1">
      <c r="B363" s="648" t="s">
        <v>280</v>
      </c>
      <c r="C363" s="648"/>
      <c r="D363" s="648"/>
      <c r="E363" s="648"/>
      <c r="F363" s="648"/>
      <c r="G363" s="648"/>
      <c r="H363" s="648"/>
      <c r="I363" s="648"/>
      <c r="J363" s="648"/>
      <c r="K363" s="648"/>
      <c r="L363" s="648"/>
      <c r="M363" s="2"/>
      <c r="R363" s="2"/>
      <c r="S363" s="2"/>
      <c r="T363" s="2"/>
      <c r="U363" s="2"/>
      <c r="V363" s="2"/>
      <c r="W363" s="2"/>
      <c r="X363" s="2"/>
      <c r="Y363" s="2"/>
      <c r="Z363" s="2"/>
      <c r="AA363" s="2"/>
      <c r="AB363" s="2"/>
      <c r="AC363" s="2"/>
      <c r="AD363" s="2"/>
      <c r="AE363" s="2"/>
      <c r="AF363" s="2"/>
      <c r="AG363" s="2"/>
      <c r="AH363" s="2"/>
      <c r="AI363" s="2"/>
      <c r="AJ363" s="2"/>
      <c r="AK363" s="2"/>
    </row>
    <row r="364" spans="2:37">
      <c r="B364" s="205"/>
      <c r="C364" s="2"/>
      <c r="D364" s="159"/>
      <c r="E364" s="2"/>
      <c r="F364" s="159"/>
      <c r="G364" s="2"/>
      <c r="H364" s="2"/>
      <c r="I364" s="159"/>
      <c r="J364" s="2"/>
      <c r="K364" s="2"/>
      <c r="L364" s="2"/>
      <c r="M364" s="2"/>
      <c r="R364" s="2"/>
      <c r="S364" s="2"/>
      <c r="T364" s="2"/>
      <c r="U364" s="2"/>
      <c r="V364" s="2"/>
      <c r="W364" s="2"/>
      <c r="X364" s="2"/>
      <c r="Y364" s="2"/>
      <c r="Z364" s="2"/>
      <c r="AA364" s="2"/>
      <c r="AB364" s="2"/>
      <c r="AC364" s="2"/>
      <c r="AD364" s="2"/>
      <c r="AE364" s="2"/>
      <c r="AF364" s="2"/>
      <c r="AG364" s="2"/>
      <c r="AH364" s="2"/>
      <c r="AI364" s="2"/>
      <c r="AJ364" s="2"/>
      <c r="AK364" s="2"/>
    </row>
    <row r="365" spans="2:37">
      <c r="M365" s="2"/>
      <c r="N365" s="2"/>
      <c r="O365" s="2"/>
      <c r="P365" s="2"/>
      <c r="Q365" s="2"/>
      <c r="R365" s="2"/>
      <c r="S365" s="2"/>
      <c r="T365" s="2"/>
      <c r="U365" s="2"/>
      <c r="V365" s="2"/>
      <c r="W365" s="2"/>
      <c r="X365" s="2"/>
      <c r="Y365" s="2"/>
      <c r="Z365" s="2"/>
      <c r="AA365" s="2"/>
      <c r="AB365" s="2"/>
      <c r="AC365" s="2"/>
      <c r="AD365" s="2"/>
      <c r="AE365" s="2"/>
      <c r="AF365" s="2"/>
      <c r="AG365" s="2"/>
      <c r="AH365" s="2"/>
      <c r="AI365" s="2"/>
      <c r="AJ365" s="2"/>
      <c r="AK365" s="2"/>
    </row>
    <row r="366" spans="2:37">
      <c r="M366" s="2"/>
      <c r="N366" s="2"/>
      <c r="O366" s="2"/>
      <c r="P366" s="2"/>
      <c r="Q366" s="2"/>
      <c r="R366" s="2"/>
      <c r="S366" s="2"/>
      <c r="T366" s="2"/>
      <c r="U366" s="2"/>
      <c r="V366" s="2"/>
      <c r="W366" s="2"/>
      <c r="X366" s="2"/>
      <c r="Y366" s="2"/>
      <c r="Z366" s="2"/>
      <c r="AA366" s="2"/>
      <c r="AB366" s="2"/>
      <c r="AC366" s="2"/>
      <c r="AD366" s="2"/>
      <c r="AE366" s="2"/>
      <c r="AF366" s="2"/>
      <c r="AG366" s="2"/>
      <c r="AH366" s="2"/>
      <c r="AI366" s="2"/>
      <c r="AJ366" s="2"/>
      <c r="AK366" s="2"/>
    </row>
    <row r="367" spans="2:37">
      <c r="M367" s="2"/>
      <c r="N367" s="2"/>
      <c r="O367" s="2"/>
      <c r="P367" s="2"/>
      <c r="Q367" s="2"/>
      <c r="R367" s="2"/>
      <c r="S367" s="2"/>
      <c r="T367" s="2"/>
      <c r="U367" s="2"/>
      <c r="V367" s="2"/>
      <c r="W367" s="2"/>
      <c r="X367" s="2"/>
      <c r="Y367" s="2"/>
      <c r="Z367" s="2"/>
      <c r="AA367" s="2"/>
      <c r="AB367" s="2"/>
      <c r="AC367" s="2"/>
      <c r="AD367" s="2"/>
      <c r="AE367" s="2"/>
      <c r="AF367" s="2"/>
      <c r="AG367" s="2"/>
      <c r="AH367" s="2"/>
      <c r="AI367" s="2"/>
      <c r="AJ367" s="2"/>
      <c r="AK367" s="2"/>
    </row>
    <row r="368" spans="2:37">
      <c r="M368" s="2"/>
      <c r="N368" s="2"/>
      <c r="O368" s="2"/>
      <c r="P368" s="140" t="str">
        <f>$B$317</f>
        <v>Instruction Expenditures (1000)</v>
      </c>
      <c r="Q368" s="2"/>
      <c r="R368" s="2"/>
      <c r="S368" s="2"/>
      <c r="T368" s="2"/>
      <c r="U368" s="2"/>
      <c r="V368" s="2"/>
      <c r="W368" s="2"/>
      <c r="X368" s="2"/>
      <c r="Y368" s="2"/>
      <c r="Z368" s="2"/>
      <c r="AA368" s="2"/>
      <c r="AB368" s="2"/>
      <c r="AC368" s="2"/>
      <c r="AD368" s="2"/>
      <c r="AE368" s="2"/>
      <c r="AF368" s="2"/>
      <c r="AG368" s="2"/>
      <c r="AH368" s="2"/>
      <c r="AI368" s="2"/>
      <c r="AJ368" s="2"/>
      <c r="AK368" s="2"/>
    </row>
    <row r="369" spans="2:37">
      <c r="M369" s="2"/>
      <c r="N369" s="2"/>
      <c r="O369" s="2"/>
      <c r="P369" s="82" t="str">
        <f>D4</f>
        <v>2023-2024</v>
      </c>
      <c r="Q369" s="82" t="str">
        <f>F4</f>
        <v>2024-2025</v>
      </c>
      <c r="R369" s="82" t="str">
        <f>I4</f>
        <v>2025-2026</v>
      </c>
      <c r="S369" s="2"/>
      <c r="T369" s="2"/>
      <c r="U369" s="2"/>
      <c r="V369" s="2"/>
      <c r="W369" s="2"/>
      <c r="X369" s="2"/>
      <c r="Y369" s="2"/>
      <c r="Z369" s="2"/>
      <c r="AA369" s="2"/>
      <c r="AB369" s="2"/>
      <c r="AC369" s="2"/>
      <c r="AD369" s="2"/>
      <c r="AE369" s="2"/>
      <c r="AF369" s="2"/>
      <c r="AG369" s="2"/>
      <c r="AH369" s="2"/>
      <c r="AI369" s="2"/>
      <c r="AJ369" s="2"/>
      <c r="AK369" s="2"/>
    </row>
    <row r="370" spans="2:37">
      <c r="M370" s="2"/>
      <c r="N370" s="2"/>
      <c r="O370" s="140" t="str">
        <f>$B$317</f>
        <v>Instruction Expenditures (1000)</v>
      </c>
      <c r="P370" s="207">
        <f>IF(AND($D359&lt;=0,$F359&lt;=0,$J359&lt;=0),#N/A,IF($D359&lt;=0,0,$D359))</f>
        <v>938685</v>
      </c>
      <c r="Q370" s="207">
        <f>IF(AND($D359&lt;=0,$F359&lt;=0,$J359&lt;=0),#N/A,IF($F359&lt;=0,0,$F359))</f>
        <v>1968697</v>
      </c>
      <c r="R370" s="207">
        <f>IF(AND($D359&lt;=0,$F359&lt;=0,$J359&lt;=0),#N/A,IF($J359&lt;=0,0,$J359))</f>
        <v>1412804</v>
      </c>
      <c r="S370" s="2"/>
      <c r="T370" s="2"/>
      <c r="U370" s="2"/>
      <c r="V370" s="2"/>
      <c r="W370" s="2"/>
      <c r="X370" s="2"/>
      <c r="Y370" s="2"/>
      <c r="Z370" s="2"/>
      <c r="AA370" s="2"/>
      <c r="AB370" s="2"/>
      <c r="AC370" s="2"/>
      <c r="AD370" s="2"/>
      <c r="AE370" s="2"/>
      <c r="AF370" s="2"/>
      <c r="AG370" s="2"/>
      <c r="AH370" s="2"/>
      <c r="AI370" s="2"/>
      <c r="AJ370" s="2"/>
      <c r="AK370" s="2"/>
    </row>
    <row r="371" spans="2:37">
      <c r="M371" s="2"/>
      <c r="R371" s="2"/>
      <c r="S371" s="2"/>
      <c r="T371" s="2"/>
      <c r="U371" s="2"/>
      <c r="V371" s="2"/>
      <c r="W371" s="2"/>
      <c r="X371" s="2"/>
      <c r="Y371" s="2"/>
      <c r="Z371" s="2"/>
      <c r="AA371" s="2"/>
      <c r="AB371" s="2"/>
      <c r="AC371" s="2"/>
      <c r="AD371" s="2"/>
      <c r="AE371" s="2"/>
      <c r="AF371" s="2"/>
      <c r="AG371" s="2"/>
      <c r="AH371" s="2"/>
      <c r="AI371" s="2"/>
      <c r="AJ371" s="2"/>
      <c r="AK371" s="2"/>
    </row>
    <row r="372" spans="2:37">
      <c r="M372" s="2"/>
      <c r="R372" s="2"/>
      <c r="S372" s="2"/>
      <c r="T372" s="2"/>
      <c r="U372" s="2"/>
      <c r="V372" s="2"/>
      <c r="W372" s="2"/>
      <c r="X372" s="2"/>
      <c r="Y372" s="2"/>
      <c r="Z372" s="2"/>
      <c r="AA372" s="2"/>
      <c r="AB372" s="2"/>
      <c r="AC372" s="2"/>
      <c r="AD372" s="2"/>
      <c r="AE372" s="2"/>
      <c r="AF372" s="2"/>
      <c r="AG372" s="2"/>
      <c r="AH372" s="2"/>
      <c r="AI372" s="2"/>
      <c r="AJ372" s="2"/>
      <c r="AK372" s="2"/>
    </row>
    <row r="373" spans="2:37">
      <c r="B373" s="2"/>
      <c r="C373" s="2"/>
      <c r="D373" s="159"/>
      <c r="E373" s="2"/>
      <c r="F373" s="159"/>
      <c r="G373" s="2"/>
      <c r="H373" s="2"/>
      <c r="I373" s="159"/>
      <c r="J373" s="2"/>
      <c r="K373" s="2"/>
      <c r="L373" s="2"/>
      <c r="M373" s="2"/>
      <c r="O373" s="2"/>
      <c r="P373" s="2" t="s">
        <v>32</v>
      </c>
      <c r="Q373" s="2"/>
      <c r="R373" s="2"/>
      <c r="S373" s="2"/>
      <c r="T373" s="2"/>
      <c r="U373" s="2"/>
      <c r="V373" s="2"/>
      <c r="W373" s="2"/>
      <c r="X373" s="2"/>
      <c r="Y373" s="2"/>
      <c r="Z373" s="2"/>
      <c r="AA373" s="2"/>
      <c r="AB373" s="2"/>
      <c r="AC373" s="2"/>
      <c r="AD373" s="2"/>
      <c r="AE373" s="2"/>
      <c r="AF373" s="2"/>
      <c r="AG373" s="2"/>
      <c r="AH373" s="2"/>
      <c r="AI373" s="2"/>
      <c r="AJ373" s="2"/>
      <c r="AK373" s="2"/>
    </row>
    <row r="374" spans="2:37">
      <c r="B374" s="2"/>
      <c r="C374" s="2"/>
      <c r="D374" s="159"/>
      <c r="E374" s="2"/>
      <c r="F374" s="159"/>
      <c r="G374" s="2"/>
      <c r="H374" s="2"/>
      <c r="I374" s="159"/>
      <c r="J374" s="2"/>
      <c r="K374" s="2"/>
      <c r="L374" s="2"/>
      <c r="M374" s="2"/>
      <c r="O374" s="2"/>
      <c r="P374" s="82" t="str">
        <f>D4</f>
        <v>2023-2024</v>
      </c>
      <c r="Q374" s="82" t="str">
        <f>F4</f>
        <v>2024-2025</v>
      </c>
      <c r="R374" s="82" t="str">
        <f>I4</f>
        <v>2025-2026</v>
      </c>
      <c r="S374" s="2"/>
      <c r="T374" s="2"/>
      <c r="U374" s="2"/>
      <c r="V374" s="2"/>
      <c r="W374" s="2"/>
      <c r="X374" s="2"/>
      <c r="Y374" s="2"/>
      <c r="Z374" s="2"/>
      <c r="AA374" s="2"/>
      <c r="AB374" s="2"/>
      <c r="AC374" s="2"/>
      <c r="AD374" s="2"/>
      <c r="AE374" s="2"/>
      <c r="AF374" s="2"/>
      <c r="AG374" s="2"/>
      <c r="AH374" s="2"/>
      <c r="AI374" s="2"/>
      <c r="AJ374" s="2"/>
      <c r="AK374" s="2"/>
    </row>
    <row r="375" spans="2:37">
      <c r="B375" s="2"/>
      <c r="C375" s="2"/>
      <c r="D375" s="159"/>
      <c r="E375" s="2"/>
      <c r="F375" s="159"/>
      <c r="G375" s="2"/>
      <c r="H375" s="2"/>
      <c r="I375" s="159"/>
      <c r="J375" s="2"/>
      <c r="K375" s="2"/>
      <c r="L375" s="2"/>
      <c r="M375" s="2"/>
      <c r="N375" s="2"/>
      <c r="O375" s="140" t="str">
        <f>$B321</f>
        <v>General</v>
      </c>
      <c r="P375" s="207">
        <f>IF(AND($D321&lt;=0,$F321&lt;=0,$J321&lt;=0),#N/A,IF($D321&lt;=0,0,$D321))</f>
        <v>450094</v>
      </c>
      <c r="Q375" s="207">
        <f>IF(AND($D321&lt;=0,$F321&lt;=0,$J321&lt;=0),#N/A,IF($F321&lt;=0,0,$F321))</f>
        <v>509814</v>
      </c>
      <c r="R375" s="207">
        <f>IF(AND($D321&lt;=0,$F321&lt;=0,$J321&lt;=0),#N/A,IF($J321&lt;=0,0,$J321))</f>
        <v>574723</v>
      </c>
      <c r="S375" s="2"/>
      <c r="T375" s="2"/>
      <c r="U375" s="2"/>
      <c r="V375" s="2"/>
      <c r="W375" s="2"/>
      <c r="X375" s="2"/>
      <c r="Y375" s="2"/>
      <c r="Z375" s="2"/>
      <c r="AA375" s="2"/>
      <c r="AB375" s="2"/>
      <c r="AC375" s="2"/>
      <c r="AD375" s="2"/>
      <c r="AE375" s="2"/>
      <c r="AF375" s="2"/>
      <c r="AG375" s="2"/>
      <c r="AH375" s="2"/>
      <c r="AI375" s="2"/>
      <c r="AJ375" s="2"/>
      <c r="AK375" s="2"/>
    </row>
    <row r="376" spans="2:37">
      <c r="B376" s="2"/>
      <c r="C376" s="2"/>
      <c r="D376" s="159"/>
      <c r="E376" s="2"/>
      <c r="F376" s="159"/>
      <c r="G376" s="2"/>
      <c r="H376" s="2"/>
      <c r="I376" s="159"/>
      <c r="J376" s="2"/>
      <c r="K376" s="2"/>
      <c r="L376" s="2"/>
      <c r="M376" s="2"/>
      <c r="N376" s="2"/>
      <c r="O376" s="140" t="str">
        <f>$B323</f>
        <v>Supplemental General</v>
      </c>
      <c r="P376" s="207">
        <f>IF(AND($D323&lt;=0,$F323&lt;=0,$J323&lt;=0),#N/A,IF($D323&lt;=0,0,$D323))</f>
        <v>66546</v>
      </c>
      <c r="Q376" s="207">
        <f>IF(AND($D323&lt;=0,$F323&lt;=0,$J323&lt;=0),#N/A,IF($F323&lt;=0,0,$F323))</f>
        <v>0</v>
      </c>
      <c r="R376" s="207">
        <f>IF(AND($D323&lt;=0,$F323&lt;=0,$J323&lt;=0),#N/A,IF($J323&lt;=0,0,$J323))</f>
        <v>13883</v>
      </c>
      <c r="S376" s="2"/>
      <c r="T376" s="2"/>
      <c r="U376" s="2"/>
      <c r="V376" s="2"/>
      <c r="W376" s="2"/>
      <c r="X376" s="2"/>
      <c r="Y376" s="2"/>
      <c r="Z376" s="2"/>
      <c r="AA376" s="2"/>
      <c r="AB376" s="2"/>
      <c r="AC376" s="2"/>
      <c r="AD376" s="2"/>
      <c r="AE376" s="2"/>
      <c r="AF376" s="2"/>
      <c r="AG376" s="2"/>
      <c r="AH376" s="2"/>
      <c r="AI376" s="2"/>
      <c r="AJ376" s="2"/>
      <c r="AK376" s="2"/>
    </row>
    <row r="377" spans="2:37">
      <c r="B377" s="2"/>
      <c r="C377" s="2"/>
      <c r="D377" s="159"/>
      <c r="E377" s="2"/>
      <c r="F377" s="159"/>
      <c r="G377" s="2"/>
      <c r="H377" s="2"/>
      <c r="I377" s="159"/>
      <c r="J377" s="2"/>
      <c r="K377" s="2"/>
      <c r="L377" s="2"/>
      <c r="M377" s="2"/>
      <c r="O377" s="140" t="str">
        <f>$B336</f>
        <v>Special Education</v>
      </c>
      <c r="P377" s="207">
        <f>IF(AND($D336&lt;=0,$F336&lt;=0,$J336&lt;=0),#N/A,IF($D336&lt;=0,0,$D336))</f>
        <v>157021</v>
      </c>
      <c r="Q377" s="207">
        <f>IF(AND($D336&lt;=0,$F336&lt;=0,$J336&lt;=0),#N/A,IF($F336&lt;=0,0,$F336))</f>
        <v>96625</v>
      </c>
      <c r="R377" s="207">
        <f>IF(AND($D336&lt;=0,$F336&lt;=0,$J336&lt;=0),#N/A,IF($J336&lt;=0,0,$J336))</f>
        <v>275168</v>
      </c>
      <c r="S377" s="2"/>
      <c r="T377" s="2"/>
      <c r="U377" s="2"/>
      <c r="V377" s="2"/>
      <c r="W377" s="2"/>
      <c r="X377" s="2"/>
      <c r="Y377" s="2"/>
      <c r="Z377" s="2"/>
      <c r="AA377" s="2"/>
      <c r="AB377" s="2"/>
      <c r="AC377" s="2"/>
      <c r="AD377" s="2"/>
      <c r="AE377" s="2"/>
      <c r="AF377" s="2"/>
      <c r="AG377" s="2"/>
      <c r="AH377" s="2"/>
      <c r="AI377" s="2"/>
      <c r="AJ377" s="2"/>
      <c r="AK377" s="2"/>
    </row>
    <row r="378" spans="2:37">
      <c r="B378" s="2"/>
      <c r="C378" s="2"/>
      <c r="D378" s="159"/>
      <c r="E378" s="2"/>
      <c r="F378" s="159"/>
      <c r="G378" s="2"/>
      <c r="H378" s="2"/>
      <c r="I378" s="159"/>
      <c r="J378" s="2"/>
      <c r="K378" s="2"/>
      <c r="L378" s="2"/>
      <c r="M378" s="2"/>
      <c r="S378" s="2"/>
      <c r="T378" s="2"/>
      <c r="U378" s="2"/>
      <c r="V378" s="2"/>
      <c r="W378" s="2"/>
      <c r="X378" s="2"/>
      <c r="Y378" s="2"/>
      <c r="Z378" s="2"/>
      <c r="AA378" s="2"/>
      <c r="AB378" s="2"/>
      <c r="AC378" s="2"/>
      <c r="AD378" s="2"/>
      <c r="AE378" s="2"/>
      <c r="AF378" s="2"/>
      <c r="AG378" s="2"/>
      <c r="AH378" s="2"/>
      <c r="AI378" s="2"/>
      <c r="AJ378" s="2"/>
      <c r="AK378" s="2"/>
    </row>
    <row r="379" spans="2:37">
      <c r="B379" s="2"/>
      <c r="C379" s="2"/>
      <c r="D379" s="159"/>
      <c r="E379" s="2"/>
      <c r="F379" s="159"/>
      <c r="G379" s="2"/>
      <c r="H379" s="2"/>
      <c r="I379" s="159"/>
      <c r="J379" s="2"/>
      <c r="K379" s="2"/>
      <c r="L379" s="2"/>
      <c r="M379" s="2"/>
      <c r="R379" s="2"/>
      <c r="S379" s="2"/>
      <c r="T379" s="2"/>
      <c r="U379" s="2"/>
      <c r="V379" s="2"/>
      <c r="W379" s="2"/>
      <c r="X379" s="2"/>
      <c r="Y379" s="2"/>
      <c r="Z379" s="2"/>
      <c r="AA379" s="2"/>
      <c r="AB379" s="2"/>
      <c r="AC379" s="2"/>
      <c r="AD379" s="2"/>
      <c r="AE379" s="2"/>
      <c r="AF379" s="2"/>
      <c r="AG379" s="2"/>
      <c r="AH379" s="2"/>
      <c r="AI379" s="2"/>
      <c r="AJ379" s="2"/>
      <c r="AK379" s="2"/>
    </row>
    <row r="380" spans="2:37">
      <c r="B380" s="2"/>
      <c r="C380" s="2"/>
      <c r="D380" s="159"/>
      <c r="E380" s="2"/>
      <c r="F380" s="159"/>
      <c r="G380" s="2"/>
      <c r="H380" s="2"/>
      <c r="I380" s="159"/>
      <c r="J380" s="2"/>
      <c r="K380" s="2"/>
      <c r="L380" s="2"/>
      <c r="M380" s="2"/>
      <c r="N380" s="2"/>
      <c r="O380" s="2"/>
      <c r="P380" s="2"/>
      <c r="Q380" s="2"/>
      <c r="R380" s="2"/>
      <c r="S380" s="2"/>
      <c r="T380" s="2"/>
      <c r="U380" s="2"/>
      <c r="V380" s="2"/>
      <c r="W380" s="2"/>
      <c r="X380" s="2"/>
      <c r="Y380" s="2"/>
      <c r="Z380" s="2"/>
      <c r="AA380" s="2"/>
      <c r="AB380" s="2"/>
      <c r="AC380" s="2"/>
      <c r="AD380" s="2"/>
      <c r="AE380" s="2"/>
      <c r="AF380" s="2"/>
      <c r="AG380" s="2"/>
      <c r="AH380" s="2"/>
      <c r="AI380" s="2"/>
      <c r="AJ380" s="2"/>
      <c r="AK380" s="2"/>
    </row>
    <row r="381" spans="2:37" ht="18">
      <c r="B381" s="316" t="s">
        <v>69</v>
      </c>
      <c r="C381" s="143"/>
      <c r="D381" s="368"/>
      <c r="E381" s="143"/>
      <c r="F381" s="368"/>
      <c r="G381" s="143"/>
      <c r="H381" s="143"/>
      <c r="I381" s="368"/>
      <c r="J381" s="143"/>
      <c r="K381" s="143"/>
      <c r="L381" s="143"/>
      <c r="M381" s="2"/>
      <c r="R381" s="2"/>
      <c r="S381" s="2"/>
      <c r="T381" s="2"/>
      <c r="U381" s="2"/>
      <c r="V381" s="2"/>
      <c r="W381" s="2"/>
      <c r="X381" s="2"/>
      <c r="Y381" s="2"/>
      <c r="Z381" s="2"/>
      <c r="AA381" s="2"/>
      <c r="AB381" s="2"/>
      <c r="AC381" s="2"/>
      <c r="AD381" s="2"/>
      <c r="AE381" s="2"/>
      <c r="AF381" s="2"/>
      <c r="AG381" s="2"/>
      <c r="AH381" s="2"/>
      <c r="AI381" s="2"/>
      <c r="AJ381" s="2"/>
      <c r="AK381" s="2"/>
    </row>
    <row r="382" spans="2:37">
      <c r="C382" s="2"/>
      <c r="D382" s="159"/>
      <c r="E382" s="2"/>
      <c r="F382" s="159"/>
      <c r="G382" s="2"/>
      <c r="H382" s="2"/>
      <c r="I382" s="159"/>
      <c r="J382" s="2"/>
      <c r="K382" s="2"/>
      <c r="L382" s="2"/>
      <c r="M382" s="2"/>
      <c r="R382" s="2"/>
      <c r="S382" s="2"/>
      <c r="T382" s="2"/>
      <c r="U382" s="2"/>
      <c r="V382" s="2"/>
      <c r="W382" s="2"/>
      <c r="X382" s="2"/>
      <c r="Y382" s="2"/>
      <c r="Z382" s="2"/>
      <c r="AA382" s="2"/>
      <c r="AB382" s="2"/>
      <c r="AC382" s="2"/>
      <c r="AD382" s="2"/>
      <c r="AE382" s="2"/>
      <c r="AF382" s="2"/>
      <c r="AG382" s="2"/>
      <c r="AH382" s="2"/>
      <c r="AI382" s="2"/>
      <c r="AJ382" s="2"/>
      <c r="AK382" s="2"/>
    </row>
    <row r="383" spans="2:37">
      <c r="B383" s="2"/>
      <c r="C383" s="43"/>
      <c r="D383" s="369" t="str">
        <f>D4</f>
        <v>2023-2024</v>
      </c>
      <c r="E383" s="43"/>
      <c r="F383" s="740" t="str">
        <f>F4</f>
        <v>2024-2025</v>
      </c>
      <c r="G383" s="741"/>
      <c r="H383" s="319" t="s">
        <v>2</v>
      </c>
      <c r="J383" s="740" t="str">
        <f>I4</f>
        <v>2025-2026</v>
      </c>
      <c r="K383" s="741"/>
      <c r="L383" s="320" t="s">
        <v>2</v>
      </c>
      <c r="M383" s="2"/>
      <c r="R383" s="2"/>
      <c r="S383" s="2"/>
      <c r="T383" s="2"/>
      <c r="U383" s="2"/>
      <c r="V383" s="2"/>
      <c r="W383" s="2"/>
      <c r="X383" s="2"/>
      <c r="Y383" s="2"/>
      <c r="Z383" s="2"/>
      <c r="AA383" s="2"/>
      <c r="AB383" s="2"/>
      <c r="AC383" s="2"/>
      <c r="AD383" s="2"/>
      <c r="AE383" s="2"/>
      <c r="AF383" s="2"/>
      <c r="AG383" s="2"/>
      <c r="AH383" s="2"/>
      <c r="AI383" s="2"/>
      <c r="AJ383" s="2"/>
      <c r="AK383" s="2"/>
    </row>
    <row r="384" spans="2:37">
      <c r="B384" s="2"/>
      <c r="C384" s="301" t="s">
        <v>4</v>
      </c>
      <c r="D384" s="323" t="s">
        <v>5</v>
      </c>
      <c r="E384" s="43"/>
      <c r="F384" s="736" t="s">
        <v>5</v>
      </c>
      <c r="G384" s="737"/>
      <c r="H384" s="322" t="s">
        <v>144</v>
      </c>
      <c r="J384" s="736" t="s">
        <v>6</v>
      </c>
      <c r="K384" s="737"/>
      <c r="L384" s="323" t="s">
        <v>144</v>
      </c>
      <c r="M384" s="2"/>
      <c r="R384" s="2"/>
      <c r="S384" s="2"/>
      <c r="T384" s="2"/>
      <c r="U384" s="2"/>
      <c r="V384" s="2"/>
      <c r="W384" s="2"/>
      <c r="X384" s="2"/>
      <c r="Y384" s="2"/>
      <c r="Z384" s="2"/>
      <c r="AA384" s="2"/>
      <c r="AB384" s="2"/>
      <c r="AC384" s="2"/>
      <c r="AD384" s="2"/>
      <c r="AE384" s="2"/>
      <c r="AF384" s="2"/>
      <c r="AG384" s="2"/>
      <c r="AH384" s="2"/>
      <c r="AI384" s="2"/>
      <c r="AJ384" s="2"/>
      <c r="AK384" s="2"/>
    </row>
    <row r="385" spans="2:37">
      <c r="B385" s="324" t="s">
        <v>34</v>
      </c>
      <c r="C385" s="325"/>
      <c r="D385" s="326">
        <f>SUM([1]C06!$C$72:$C$83)</f>
        <v>0</v>
      </c>
      <c r="E385" s="327"/>
      <c r="F385" s="747">
        <f>SUM([1]C06!$D$72:$D$83)</f>
        <v>267</v>
      </c>
      <c r="G385" s="732"/>
      <c r="H385" s="328">
        <f t="shared" ref="H385:H423" si="66">IF(D385=0,0,((F385-D385)/D385))</f>
        <v>0</v>
      </c>
      <c r="J385" s="747">
        <f>SUM([1]C06!$E$72:$E$83)</f>
        <v>0</v>
      </c>
      <c r="K385" s="732"/>
      <c r="L385" s="328">
        <f t="shared" ref="L385:L406" si="67">IF(F385=0,0,((J385-F385)/F385))</f>
        <v>-1</v>
      </c>
      <c r="M385" s="2"/>
      <c r="N385" s="2"/>
      <c r="O385" s="2"/>
      <c r="P385" s="2"/>
      <c r="Q385" s="2"/>
      <c r="R385" s="2"/>
      <c r="S385" s="2"/>
      <c r="T385" s="2"/>
      <c r="U385" s="2"/>
      <c r="V385" s="2"/>
      <c r="W385" s="2"/>
      <c r="X385" s="2"/>
      <c r="Y385" s="2"/>
      <c r="Z385" s="2"/>
      <c r="AA385" s="2"/>
      <c r="AB385" s="2"/>
      <c r="AC385" s="2"/>
      <c r="AD385" s="2"/>
      <c r="AE385" s="2"/>
      <c r="AF385" s="2"/>
      <c r="AG385" s="2"/>
      <c r="AH385" s="2"/>
      <c r="AI385" s="2"/>
      <c r="AJ385" s="2"/>
      <c r="AK385" s="2"/>
    </row>
    <row r="386" spans="2:37">
      <c r="B386" s="44" t="s">
        <v>36</v>
      </c>
      <c r="C386" s="44"/>
      <c r="D386" s="329">
        <f>SUM([1]C07!$C$66:$C$77)</f>
        <v>0</v>
      </c>
      <c r="E386" s="327"/>
      <c r="F386" s="671">
        <f>SUM([1]C07!$D$66:$D$77)</f>
        <v>0</v>
      </c>
      <c r="G386" s="653"/>
      <c r="H386" s="330">
        <f t="shared" si="66"/>
        <v>0</v>
      </c>
      <c r="J386" s="671">
        <f>SUM([1]C07!$E$66:$E$77)</f>
        <v>0</v>
      </c>
      <c r="K386" s="653"/>
      <c r="L386" s="330">
        <f t="shared" si="67"/>
        <v>0</v>
      </c>
      <c r="M386" s="2"/>
      <c r="R386" s="2"/>
      <c r="S386" s="2"/>
      <c r="T386" s="2"/>
      <c r="U386" s="2"/>
      <c r="V386" s="2"/>
      <c r="W386" s="2"/>
      <c r="X386" s="2"/>
      <c r="Y386" s="2"/>
      <c r="Z386" s="2"/>
      <c r="AA386" s="2"/>
      <c r="AB386" s="2"/>
      <c r="AC386" s="2"/>
      <c r="AD386" s="2"/>
      <c r="AE386" s="2"/>
      <c r="AF386" s="2"/>
      <c r="AG386" s="2"/>
      <c r="AH386" s="2"/>
      <c r="AI386" s="2"/>
      <c r="AJ386" s="2"/>
      <c r="AK386" s="2"/>
    </row>
    <row r="387" spans="2:37">
      <c r="B387" s="324" t="s">
        <v>35</v>
      </c>
      <c r="C387" s="324"/>
      <c r="D387" s="331">
        <f>SUM([1]C08!$C$77:$C$88)</f>
        <v>2063</v>
      </c>
      <c r="E387" s="327"/>
      <c r="F387" s="656">
        <f>SUM([1]C08!$D$77:$D$88)</f>
        <v>0</v>
      </c>
      <c r="G387" s="655"/>
      <c r="H387" s="332">
        <f t="shared" si="66"/>
        <v>-1</v>
      </c>
      <c r="J387" s="656">
        <f>SUM([1]C08!$E$77:$E$88)</f>
        <v>0</v>
      </c>
      <c r="K387" s="655"/>
      <c r="L387" s="332">
        <f t="shared" si="67"/>
        <v>0</v>
      </c>
      <c r="M387" s="2"/>
      <c r="R387" s="2"/>
      <c r="S387" s="2"/>
      <c r="T387" s="2"/>
      <c r="U387" s="2"/>
      <c r="V387" s="2"/>
      <c r="W387" s="2"/>
      <c r="X387" s="2"/>
      <c r="Y387" s="2"/>
      <c r="Z387" s="2"/>
      <c r="AA387" s="2"/>
      <c r="AB387" s="2"/>
      <c r="AC387" s="2"/>
      <c r="AD387" s="2"/>
      <c r="AE387" s="2"/>
      <c r="AF387" s="2"/>
      <c r="AG387" s="2"/>
      <c r="AH387" s="2"/>
      <c r="AI387" s="2"/>
      <c r="AJ387" s="2"/>
      <c r="AK387" s="2"/>
    </row>
    <row r="388" spans="2:37">
      <c r="B388" s="1" t="s">
        <v>140</v>
      </c>
      <c r="C388" s="333"/>
      <c r="D388" s="334">
        <f>SUM([1]C011!$C$67:$C$78)</f>
        <v>0</v>
      </c>
      <c r="E388" s="327"/>
      <c r="F388" s="671">
        <f>SUM([1]C011!$D$67:$D$78)</f>
        <v>0</v>
      </c>
      <c r="G388" s="653"/>
      <c r="H388" s="330">
        <f t="shared" si="66"/>
        <v>0</v>
      </c>
      <c r="J388" s="672">
        <f>SUM([1]C011!$E$67:$E$78)</f>
        <v>0</v>
      </c>
      <c r="K388" s="673"/>
      <c r="L388" s="330">
        <f t="shared" si="67"/>
        <v>0</v>
      </c>
      <c r="M388" s="2"/>
      <c r="R388" s="2"/>
      <c r="S388" s="2"/>
      <c r="T388" s="2"/>
      <c r="U388" s="2"/>
      <c r="V388" s="2"/>
      <c r="W388" s="2"/>
      <c r="X388" s="2"/>
      <c r="Y388" s="2"/>
      <c r="Z388" s="2"/>
      <c r="AA388" s="2"/>
      <c r="AB388" s="2"/>
      <c r="AC388" s="2"/>
      <c r="AD388" s="2"/>
      <c r="AE388" s="2"/>
      <c r="AF388" s="2"/>
      <c r="AG388" s="2"/>
      <c r="AH388" s="2"/>
      <c r="AI388" s="2"/>
      <c r="AJ388" s="2"/>
      <c r="AK388" s="2"/>
    </row>
    <row r="389" spans="2:37">
      <c r="B389" s="324" t="s">
        <v>277</v>
      </c>
      <c r="C389" s="335"/>
      <c r="D389" s="331">
        <f>SUM([1]C013!$C$67:$C$78)</f>
        <v>0</v>
      </c>
      <c r="E389" s="327"/>
      <c r="F389" s="656">
        <f>SUM([1]C013!$D$67:$D$78)</f>
        <v>0</v>
      </c>
      <c r="G389" s="655"/>
      <c r="H389" s="332">
        <f t="shared" si="66"/>
        <v>0</v>
      </c>
      <c r="J389" s="674">
        <f>SUM([1]C013!$E$67:$E$78)</f>
        <v>0</v>
      </c>
      <c r="K389" s="675"/>
      <c r="L389" s="332">
        <f t="shared" si="67"/>
        <v>0</v>
      </c>
      <c r="M389" s="2"/>
      <c r="R389" s="2"/>
      <c r="S389" s="2"/>
      <c r="T389" s="2"/>
      <c r="U389" s="2"/>
      <c r="V389" s="2"/>
      <c r="W389" s="2"/>
      <c r="X389" s="2"/>
      <c r="Y389" s="2"/>
      <c r="Z389" s="2"/>
      <c r="AA389" s="2"/>
      <c r="AB389" s="2"/>
      <c r="AC389" s="2"/>
      <c r="AD389" s="2"/>
      <c r="AE389" s="2"/>
      <c r="AF389" s="2"/>
      <c r="AG389" s="2"/>
      <c r="AH389" s="2"/>
      <c r="AI389" s="2"/>
      <c r="AJ389" s="2"/>
      <c r="AK389" s="2"/>
    </row>
    <row r="390" spans="2:37" ht="16.5" customHeight="1">
      <c r="B390" s="1" t="s">
        <v>39</v>
      </c>
      <c r="C390" s="1"/>
      <c r="D390" s="334">
        <f>SUM([1]C014!$C$63:$C$74)</f>
        <v>0</v>
      </c>
      <c r="E390" s="327"/>
      <c r="F390" s="671">
        <f>SUM([1]C014!$D$63:$D$74)</f>
        <v>0</v>
      </c>
      <c r="G390" s="653"/>
      <c r="H390" s="330">
        <f t="shared" si="66"/>
        <v>0</v>
      </c>
      <c r="J390" s="671">
        <f>SUM([1]C014!$E$63:$E$74)</f>
        <v>0</v>
      </c>
      <c r="K390" s="653"/>
      <c r="L390" s="330">
        <f t="shared" si="67"/>
        <v>0</v>
      </c>
      <c r="M390" s="2"/>
      <c r="R390" s="2"/>
      <c r="S390" s="2"/>
      <c r="T390" s="2"/>
      <c r="U390" s="2"/>
      <c r="V390" s="2"/>
      <c r="W390" s="2"/>
      <c r="X390" s="2"/>
      <c r="Y390" s="2"/>
      <c r="Z390" s="2"/>
      <c r="AA390" s="2"/>
      <c r="AB390" s="2"/>
      <c r="AC390" s="2"/>
      <c r="AD390" s="2"/>
      <c r="AE390" s="2"/>
      <c r="AF390" s="2"/>
      <c r="AG390" s="2"/>
      <c r="AH390" s="2"/>
      <c r="AI390" s="2"/>
      <c r="AJ390" s="2"/>
      <c r="AK390" s="2"/>
    </row>
    <row r="391" spans="2:37">
      <c r="B391" s="324" t="s">
        <v>40</v>
      </c>
      <c r="C391" s="324"/>
      <c r="D391" s="331">
        <f>SUM([1]C015!$C$63:$C$74)</f>
        <v>0</v>
      </c>
      <c r="E391" s="327"/>
      <c r="F391" s="656">
        <f>SUM([1]C015!$D$63:$D$74)</f>
        <v>0</v>
      </c>
      <c r="G391" s="655"/>
      <c r="H391" s="332">
        <f t="shared" si="66"/>
        <v>0</v>
      </c>
      <c r="J391" s="656">
        <f>SUM([1]C015!$E$63:$E$74)</f>
        <v>0</v>
      </c>
      <c r="K391" s="655"/>
      <c r="L391" s="332">
        <f t="shared" si="67"/>
        <v>0</v>
      </c>
      <c r="M391" s="2"/>
      <c r="N391" s="2"/>
      <c r="O391" s="2"/>
      <c r="P391" s="2"/>
      <c r="Q391" s="2"/>
      <c r="R391" s="2"/>
      <c r="S391" s="2"/>
      <c r="T391" s="2"/>
      <c r="U391" s="2"/>
      <c r="V391" s="2"/>
      <c r="W391" s="2"/>
      <c r="X391" s="2"/>
      <c r="Y391" s="2"/>
      <c r="Z391" s="2"/>
      <c r="AA391" s="2"/>
      <c r="AB391" s="2"/>
      <c r="AC391" s="2"/>
      <c r="AD391" s="2"/>
      <c r="AE391" s="2"/>
      <c r="AF391" s="2"/>
      <c r="AG391" s="2"/>
      <c r="AH391" s="2"/>
      <c r="AI391" s="2"/>
      <c r="AJ391" s="2"/>
      <c r="AK391" s="2"/>
    </row>
    <row r="392" spans="2:37">
      <c r="B392" s="1" t="s">
        <v>41</v>
      </c>
      <c r="C392" s="1"/>
      <c r="D392" s="334">
        <f>SUM([1]C016!$C$65:$C$66)</f>
        <v>0</v>
      </c>
      <c r="E392" s="327"/>
      <c r="F392" s="671">
        <f>SUM([1]C016!$D$65:$D$66)</f>
        <v>0</v>
      </c>
      <c r="G392" s="653"/>
      <c r="H392" s="330">
        <f t="shared" si="66"/>
        <v>0</v>
      </c>
      <c r="J392" s="671">
        <f>SUM([1]C016!$E$65:$E$66)</f>
        <v>0</v>
      </c>
      <c r="K392" s="653"/>
      <c r="L392" s="330">
        <f t="shared" si="67"/>
        <v>0</v>
      </c>
      <c r="M392" s="2"/>
      <c r="N392" s="2"/>
      <c r="O392" s="2"/>
      <c r="P392" s="2"/>
      <c r="Q392" s="2"/>
      <c r="R392" s="2"/>
      <c r="S392" s="2"/>
      <c r="T392" s="2"/>
      <c r="U392" s="2"/>
      <c r="V392" s="2"/>
      <c r="W392" s="2"/>
      <c r="X392" s="2"/>
      <c r="Y392" s="2"/>
      <c r="Z392" s="2"/>
      <c r="AA392" s="2"/>
      <c r="AB392" s="2"/>
      <c r="AC392" s="2"/>
      <c r="AD392" s="2"/>
      <c r="AE392" s="2"/>
      <c r="AF392" s="2"/>
      <c r="AG392" s="2"/>
      <c r="AH392" s="2"/>
      <c r="AI392" s="2"/>
      <c r="AJ392" s="2"/>
      <c r="AK392" s="2"/>
    </row>
    <row r="393" spans="2:37">
      <c r="B393" s="324" t="s">
        <v>70</v>
      </c>
      <c r="C393" s="324"/>
      <c r="D393" s="331">
        <f>SUM([1]C018!$C$63:$C$74)</f>
        <v>0</v>
      </c>
      <c r="E393" s="327"/>
      <c r="F393" s="656">
        <f>SUM([1]C018!$D$63:$D$74)</f>
        <v>0</v>
      </c>
      <c r="G393" s="655"/>
      <c r="H393" s="332">
        <f t="shared" si="66"/>
        <v>0</v>
      </c>
      <c r="J393" s="656">
        <f>SUM([1]C018!$E$63:$E$74)</f>
        <v>0</v>
      </c>
      <c r="K393" s="655"/>
      <c r="L393" s="332">
        <f t="shared" si="67"/>
        <v>0</v>
      </c>
      <c r="M393" s="2"/>
      <c r="N393" s="2"/>
      <c r="O393" s="2"/>
      <c r="P393" s="2"/>
      <c r="Q393" s="2"/>
      <c r="R393" s="2"/>
      <c r="S393" s="2"/>
      <c r="T393" s="2"/>
      <c r="U393" s="2"/>
      <c r="V393" s="2"/>
      <c r="W393" s="2"/>
      <c r="X393" s="2"/>
      <c r="Y393" s="2"/>
      <c r="Z393" s="2"/>
      <c r="AA393" s="2"/>
      <c r="AB393" s="2"/>
      <c r="AC393" s="2"/>
      <c r="AD393" s="2"/>
      <c r="AE393" s="2"/>
      <c r="AF393" s="2"/>
      <c r="AG393" s="2"/>
      <c r="AH393" s="2"/>
      <c r="AI393" s="2"/>
      <c r="AJ393" s="2"/>
      <c r="AK393" s="2"/>
    </row>
    <row r="394" spans="2:37">
      <c r="B394" s="1" t="s">
        <v>43</v>
      </c>
      <c r="C394" s="1"/>
      <c r="D394" s="336">
        <v>0</v>
      </c>
      <c r="E394" s="327"/>
      <c r="F394" s="652">
        <v>0</v>
      </c>
      <c r="G394" s="653"/>
      <c r="H394" s="330">
        <f t="shared" si="66"/>
        <v>0</v>
      </c>
      <c r="J394" s="652">
        <v>0</v>
      </c>
      <c r="K394" s="653"/>
      <c r="L394" s="330">
        <f t="shared" si="67"/>
        <v>0</v>
      </c>
      <c r="M394" s="2"/>
      <c r="N394" s="2"/>
      <c r="O394" s="2"/>
      <c r="P394" s="2"/>
      <c r="Q394" s="2"/>
      <c r="R394" s="2"/>
      <c r="S394" s="2"/>
      <c r="T394" s="2"/>
      <c r="U394" s="2"/>
      <c r="V394" s="2"/>
      <c r="W394" s="2"/>
      <c r="X394" s="2"/>
      <c r="Y394" s="2"/>
      <c r="Z394" s="2"/>
      <c r="AA394" s="2"/>
      <c r="AB394" s="2"/>
      <c r="AC394" s="2"/>
      <c r="AD394" s="2"/>
      <c r="AE394" s="2"/>
      <c r="AF394" s="2"/>
      <c r="AG394" s="2"/>
      <c r="AH394" s="2"/>
      <c r="AI394" s="2"/>
      <c r="AJ394" s="2"/>
      <c r="AK394" s="2"/>
    </row>
    <row r="395" spans="2:37">
      <c r="B395" s="324" t="s">
        <v>44</v>
      </c>
      <c r="C395" s="324"/>
      <c r="D395" s="331">
        <f>SUM([1]C022!$C$63:$C$74)</f>
        <v>0</v>
      </c>
      <c r="E395" s="327"/>
      <c r="F395" s="656">
        <f>SUM([1]C022!$D$63:$D$74)</f>
        <v>0</v>
      </c>
      <c r="G395" s="655"/>
      <c r="H395" s="332">
        <f t="shared" si="66"/>
        <v>0</v>
      </c>
      <c r="J395" s="656">
        <f>SUM([1]C022!$E$63:$E$74)</f>
        <v>0</v>
      </c>
      <c r="K395" s="655"/>
      <c r="L395" s="332">
        <f t="shared" si="67"/>
        <v>0</v>
      </c>
      <c r="M395" s="2"/>
      <c r="N395" s="2"/>
      <c r="O395" s="2"/>
      <c r="P395" s="2"/>
      <c r="Q395" s="2"/>
      <c r="R395" s="2"/>
      <c r="S395" s="2"/>
      <c r="T395" s="2"/>
      <c r="U395" s="2"/>
      <c r="V395" s="2"/>
      <c r="W395" s="2"/>
      <c r="X395" s="2"/>
      <c r="Y395" s="2"/>
      <c r="Z395" s="2"/>
      <c r="AA395" s="2"/>
      <c r="AB395" s="2"/>
      <c r="AC395" s="2"/>
      <c r="AD395" s="2"/>
      <c r="AE395" s="2"/>
      <c r="AF395" s="2"/>
      <c r="AG395" s="2"/>
      <c r="AH395" s="2"/>
      <c r="AI395" s="2"/>
      <c r="AJ395" s="2"/>
      <c r="AK395" s="2"/>
    </row>
    <row r="396" spans="2:37">
      <c r="B396" s="1" t="s">
        <v>45</v>
      </c>
      <c r="C396" s="337">
        <v>24</v>
      </c>
      <c r="D396" s="336">
        <v>0</v>
      </c>
      <c r="E396" s="327"/>
      <c r="F396" s="652">
        <v>0</v>
      </c>
      <c r="G396" s="653"/>
      <c r="H396" s="330">
        <f t="shared" si="66"/>
        <v>0</v>
      </c>
      <c r="J396" s="652">
        <v>0</v>
      </c>
      <c r="K396" s="653"/>
      <c r="L396" s="330">
        <f t="shared" si="67"/>
        <v>0</v>
      </c>
      <c r="M396" s="2"/>
      <c r="N396" s="2"/>
      <c r="O396" s="2"/>
      <c r="P396" s="2"/>
      <c r="Q396" s="2"/>
      <c r="R396" s="2"/>
      <c r="S396" s="2"/>
      <c r="T396" s="2"/>
      <c r="U396" s="2"/>
      <c r="V396" s="2"/>
      <c r="W396" s="2"/>
      <c r="X396" s="2"/>
      <c r="Y396" s="2"/>
      <c r="Z396" s="2"/>
      <c r="AA396" s="2"/>
      <c r="AB396" s="2"/>
      <c r="AC396" s="2"/>
      <c r="AD396" s="2"/>
      <c r="AE396" s="2"/>
      <c r="AF396" s="2"/>
      <c r="AG396" s="2"/>
      <c r="AH396" s="2"/>
      <c r="AI396" s="2"/>
      <c r="AJ396" s="2"/>
      <c r="AK396" s="2"/>
    </row>
    <row r="397" spans="2:37">
      <c r="B397" s="324" t="s">
        <v>46</v>
      </c>
      <c r="C397" s="338"/>
      <c r="D397" s="339">
        <v>0</v>
      </c>
      <c r="E397" s="327"/>
      <c r="F397" s="654">
        <v>0</v>
      </c>
      <c r="G397" s="655"/>
      <c r="H397" s="332">
        <f t="shared" si="66"/>
        <v>0</v>
      </c>
      <c r="J397" s="654">
        <v>0</v>
      </c>
      <c r="K397" s="655"/>
      <c r="L397" s="332">
        <f t="shared" si="67"/>
        <v>0</v>
      </c>
      <c r="M397" s="2"/>
      <c r="N397" s="2"/>
      <c r="O397" s="2"/>
      <c r="P397" s="2"/>
      <c r="Q397" s="2"/>
      <c r="R397" s="2"/>
      <c r="S397" s="2"/>
      <c r="T397" s="2"/>
      <c r="U397" s="2"/>
      <c r="V397" s="2"/>
      <c r="W397" s="2"/>
      <c r="X397" s="2"/>
      <c r="Y397" s="2"/>
      <c r="Z397" s="2"/>
      <c r="AA397" s="2"/>
      <c r="AB397" s="2"/>
      <c r="AC397" s="2"/>
      <c r="AD397" s="2"/>
      <c r="AE397" s="2"/>
      <c r="AF397" s="2"/>
      <c r="AG397" s="2"/>
      <c r="AH397" s="2"/>
      <c r="AI397" s="2"/>
      <c r="AJ397" s="2"/>
      <c r="AK397" s="2"/>
    </row>
    <row r="398" spans="2:37">
      <c r="B398" s="1" t="s">
        <v>47</v>
      </c>
      <c r="C398" s="337"/>
      <c r="D398" s="334">
        <f>SUM([1]C028!$C$42:$C$59)</f>
        <v>0</v>
      </c>
      <c r="E398" s="327"/>
      <c r="F398" s="671">
        <f>SUM([1]C028!$D$42:$D$59)</f>
        <v>0</v>
      </c>
      <c r="G398" s="653"/>
      <c r="H398" s="330">
        <f t="shared" si="66"/>
        <v>0</v>
      </c>
      <c r="J398" s="671">
        <f>SUM([1]C028!$E$42:$E$59)</f>
        <v>0</v>
      </c>
      <c r="K398" s="653"/>
      <c r="L398" s="330">
        <f t="shared" si="67"/>
        <v>0</v>
      </c>
      <c r="M398" s="2"/>
      <c r="N398" s="2"/>
      <c r="O398" s="2"/>
      <c r="P398" s="2"/>
      <c r="Q398" s="2"/>
      <c r="R398" s="2"/>
      <c r="S398" s="2"/>
      <c r="T398" s="2"/>
      <c r="U398" s="2"/>
      <c r="V398" s="2"/>
      <c r="W398" s="2"/>
      <c r="X398" s="2"/>
      <c r="Y398" s="2"/>
      <c r="Z398" s="2"/>
      <c r="AA398" s="2"/>
      <c r="AB398" s="2"/>
      <c r="AC398" s="2"/>
      <c r="AD398" s="2"/>
      <c r="AE398" s="2"/>
      <c r="AF398" s="2"/>
      <c r="AG398" s="2"/>
      <c r="AH398" s="2"/>
      <c r="AI398" s="2"/>
      <c r="AJ398" s="2"/>
      <c r="AK398" s="2"/>
    </row>
    <row r="399" spans="2:37">
      <c r="B399" s="324" t="s">
        <v>48</v>
      </c>
      <c r="C399" s="338"/>
      <c r="D399" s="331">
        <f>SUM([1]C029!$C$67:$C$78)</f>
        <v>0</v>
      </c>
      <c r="E399" s="327"/>
      <c r="F399" s="656">
        <f>SUM([1]C029!$D$67:$D$78)</f>
        <v>0</v>
      </c>
      <c r="G399" s="655"/>
      <c r="H399" s="332">
        <f t="shared" si="66"/>
        <v>0</v>
      </c>
      <c r="J399" s="656">
        <f>SUM([1]C029!$E$67:$E$78)</f>
        <v>0</v>
      </c>
      <c r="K399" s="655"/>
      <c r="L399" s="332">
        <f t="shared" si="67"/>
        <v>0</v>
      </c>
      <c r="M399" s="2"/>
      <c r="N399" s="2"/>
      <c r="O399" s="2"/>
      <c r="P399" s="2"/>
      <c r="Q399" s="2"/>
      <c r="R399" s="2"/>
      <c r="S399" s="2"/>
      <c r="T399" s="2"/>
      <c r="U399" s="2"/>
      <c r="V399" s="2"/>
      <c r="W399" s="2"/>
      <c r="X399" s="2"/>
      <c r="Y399" s="2"/>
      <c r="Z399" s="2"/>
      <c r="AA399" s="2"/>
      <c r="AB399" s="2"/>
      <c r="AC399" s="2"/>
      <c r="AD399" s="2"/>
      <c r="AE399" s="2"/>
      <c r="AF399" s="2"/>
      <c r="AG399" s="2"/>
      <c r="AH399" s="2"/>
      <c r="AI399" s="2"/>
      <c r="AJ399" s="2"/>
      <c r="AK399" s="2"/>
    </row>
    <row r="400" spans="2:37">
      <c r="B400" s="1" t="s">
        <v>37</v>
      </c>
      <c r="C400" s="337"/>
      <c r="D400" s="334">
        <f>SUM([1]C030!$C$72:$C$83)</f>
        <v>0</v>
      </c>
      <c r="E400" s="327"/>
      <c r="F400" s="671">
        <f>SUM([1]C030!$D$72:$D$83)</f>
        <v>0</v>
      </c>
      <c r="G400" s="653"/>
      <c r="H400" s="330">
        <f t="shared" si="66"/>
        <v>0</v>
      </c>
      <c r="J400" s="671">
        <f>SUM([1]C030!$E$72:$E$83)</f>
        <v>0</v>
      </c>
      <c r="K400" s="653"/>
      <c r="L400" s="330">
        <f t="shared" si="67"/>
        <v>0</v>
      </c>
      <c r="M400" s="2"/>
      <c r="N400" s="2"/>
      <c r="O400" s="2"/>
      <c r="P400" s="2"/>
      <c r="Q400" s="2"/>
      <c r="R400" s="2"/>
      <c r="S400" s="2"/>
      <c r="T400" s="2"/>
      <c r="U400" s="2"/>
      <c r="V400" s="2"/>
      <c r="W400" s="2"/>
      <c r="X400" s="2"/>
      <c r="Y400" s="2"/>
      <c r="Z400" s="2"/>
      <c r="AA400" s="2"/>
      <c r="AB400" s="2"/>
      <c r="AC400" s="2"/>
      <c r="AD400" s="2"/>
      <c r="AE400" s="2"/>
      <c r="AF400" s="2"/>
      <c r="AG400" s="2"/>
      <c r="AH400" s="2"/>
      <c r="AI400" s="2"/>
      <c r="AJ400" s="2"/>
      <c r="AK400" s="2"/>
    </row>
    <row r="401" spans="2:37">
      <c r="B401" s="324" t="s">
        <v>49</v>
      </c>
      <c r="C401" s="338"/>
      <c r="D401" s="339">
        <v>0</v>
      </c>
      <c r="E401" s="327"/>
      <c r="F401" s="654">
        <v>0</v>
      </c>
      <c r="G401" s="655"/>
      <c r="H401" s="332">
        <f t="shared" si="66"/>
        <v>0</v>
      </c>
      <c r="J401" s="654">
        <v>0</v>
      </c>
      <c r="K401" s="655"/>
      <c r="L401" s="332">
        <f t="shared" si="67"/>
        <v>0</v>
      </c>
      <c r="M401" s="2"/>
      <c r="N401" s="2"/>
      <c r="O401" s="2"/>
      <c r="P401" s="2"/>
      <c r="Q401" s="2"/>
      <c r="R401" s="2"/>
      <c r="S401" s="2"/>
      <c r="T401" s="2"/>
      <c r="U401" s="2"/>
      <c r="V401" s="2"/>
      <c r="W401" s="2"/>
      <c r="X401" s="2"/>
      <c r="Y401" s="2"/>
      <c r="Z401" s="2"/>
      <c r="AA401" s="2"/>
      <c r="AB401" s="2"/>
      <c r="AC401" s="2"/>
      <c r="AD401" s="2"/>
      <c r="AE401" s="2"/>
      <c r="AF401" s="2"/>
      <c r="AG401" s="2"/>
      <c r="AH401" s="2"/>
      <c r="AI401" s="2"/>
      <c r="AJ401" s="2"/>
      <c r="AK401" s="2"/>
    </row>
    <row r="402" spans="2:37">
      <c r="B402" s="370" t="str">
        <f>B338</f>
        <v>Career and Postsecondary Ed.</v>
      </c>
      <c r="C402" s="337"/>
      <c r="D402" s="334">
        <f>SUM([1]C034!$C$74:$C$85)</f>
        <v>0</v>
      </c>
      <c r="E402" s="327"/>
      <c r="F402" s="671">
        <f>SUM([1]C034!$D$74:$D$85)</f>
        <v>0</v>
      </c>
      <c r="G402" s="653"/>
      <c r="H402" s="330">
        <f t="shared" si="66"/>
        <v>0</v>
      </c>
      <c r="J402" s="671">
        <f>SUM([1]C034!$E$74:$E$85)</f>
        <v>0</v>
      </c>
      <c r="K402" s="653"/>
      <c r="L402" s="330">
        <f t="shared" si="67"/>
        <v>0</v>
      </c>
      <c r="M402" s="2"/>
      <c r="N402" s="2"/>
      <c r="O402" s="2"/>
      <c r="P402" s="2"/>
      <c r="Q402" s="2"/>
      <c r="R402" s="2"/>
      <c r="S402" s="2"/>
      <c r="T402" s="2"/>
      <c r="U402" s="2"/>
      <c r="V402" s="2"/>
      <c r="W402" s="2"/>
      <c r="X402" s="2"/>
      <c r="Y402" s="2"/>
      <c r="Z402" s="2"/>
      <c r="AA402" s="2"/>
      <c r="AB402" s="2"/>
      <c r="AC402" s="2"/>
      <c r="AD402" s="2"/>
      <c r="AE402" s="2"/>
      <c r="AF402" s="2"/>
      <c r="AG402" s="2"/>
      <c r="AH402" s="2"/>
      <c r="AI402" s="2"/>
      <c r="AJ402" s="2"/>
      <c r="AK402" s="2"/>
    </row>
    <row r="403" spans="2:37" ht="15.75">
      <c r="B403" s="324" t="s">
        <v>178</v>
      </c>
      <c r="C403" s="338">
        <v>35</v>
      </c>
      <c r="D403" s="331">
        <f>SUM([1]C035!$C$77:$C$88)</f>
        <v>0</v>
      </c>
      <c r="E403" s="327"/>
      <c r="F403" s="656">
        <f>SUM([1]C035!$D$77:$D$88)</f>
        <v>0</v>
      </c>
      <c r="G403" s="655"/>
      <c r="H403" s="332">
        <f t="shared" si="66"/>
        <v>0</v>
      </c>
      <c r="J403" s="656">
        <f>SUM([1]C035!$E$77:$E$88)</f>
        <v>0</v>
      </c>
      <c r="K403" s="655"/>
      <c r="L403" s="332">
        <f t="shared" si="67"/>
        <v>0</v>
      </c>
      <c r="M403" s="2"/>
      <c r="N403" s="2"/>
      <c r="O403" s="2"/>
      <c r="P403" s="2"/>
      <c r="Q403" s="2"/>
      <c r="R403" s="2"/>
      <c r="S403" s="2"/>
      <c r="T403" s="2"/>
      <c r="U403" s="2"/>
      <c r="V403" s="2"/>
      <c r="W403" s="2"/>
      <c r="X403" s="2"/>
      <c r="Y403" s="2"/>
      <c r="Z403" s="2"/>
      <c r="AA403" s="2"/>
      <c r="AB403" s="2"/>
      <c r="AC403" s="2"/>
      <c r="AD403" s="2"/>
      <c r="AE403" s="2"/>
      <c r="AF403" s="2"/>
      <c r="AG403" s="2"/>
      <c r="AH403" s="2"/>
      <c r="AI403" s="2"/>
      <c r="AJ403" s="2"/>
      <c r="AK403" s="2"/>
    </row>
    <row r="404" spans="2:37">
      <c r="B404" s="1" t="s">
        <v>71</v>
      </c>
      <c r="C404" s="337">
        <v>42</v>
      </c>
      <c r="D404" s="336">
        <v>0</v>
      </c>
      <c r="E404" s="327"/>
      <c r="F404" s="652">
        <v>0</v>
      </c>
      <c r="G404" s="653"/>
      <c r="H404" s="330">
        <f t="shared" si="66"/>
        <v>0</v>
      </c>
      <c r="J404" s="652">
        <v>0</v>
      </c>
      <c r="K404" s="653"/>
      <c r="L404" s="330">
        <f t="shared" si="67"/>
        <v>0</v>
      </c>
      <c r="M404" s="2"/>
      <c r="N404" s="2"/>
      <c r="O404" s="2"/>
      <c r="P404" s="2"/>
      <c r="Q404" s="2"/>
      <c r="R404" s="2"/>
      <c r="S404" s="2"/>
      <c r="T404" s="2"/>
      <c r="U404" s="2"/>
      <c r="V404" s="2"/>
      <c r="W404" s="2"/>
      <c r="X404" s="2"/>
      <c r="Y404" s="2"/>
      <c r="Z404" s="2"/>
      <c r="AA404" s="2"/>
      <c r="AB404" s="2"/>
      <c r="AC404" s="2"/>
      <c r="AD404" s="2"/>
      <c r="AE404" s="2"/>
      <c r="AF404" s="2"/>
      <c r="AG404" s="2"/>
      <c r="AH404" s="2"/>
      <c r="AI404" s="2"/>
      <c r="AJ404" s="2"/>
      <c r="AK404" s="2"/>
    </row>
    <row r="405" spans="2:37">
      <c r="B405" s="324" t="s">
        <v>51</v>
      </c>
      <c r="C405" s="338">
        <v>44</v>
      </c>
      <c r="D405" s="339">
        <v>0</v>
      </c>
      <c r="E405" s="327"/>
      <c r="F405" s="654">
        <v>0</v>
      </c>
      <c r="G405" s="655"/>
      <c r="H405" s="332">
        <f t="shared" si="66"/>
        <v>0</v>
      </c>
      <c r="J405" s="654">
        <v>0</v>
      </c>
      <c r="K405" s="655"/>
      <c r="L405" s="332">
        <f t="shared" si="67"/>
        <v>0</v>
      </c>
      <c r="M405" s="2"/>
      <c r="N405" s="2"/>
      <c r="O405" s="2"/>
      <c r="P405" s="2"/>
      <c r="Q405" s="2"/>
      <c r="R405" s="2"/>
      <c r="S405" s="2"/>
      <c r="T405" s="2"/>
      <c r="U405" s="2"/>
      <c r="V405" s="2"/>
      <c r="W405" s="2"/>
      <c r="X405" s="2"/>
      <c r="Y405" s="2"/>
      <c r="Z405" s="2"/>
      <c r="AA405" s="2"/>
      <c r="AB405" s="2"/>
      <c r="AC405" s="2"/>
      <c r="AD405" s="2"/>
      <c r="AE405" s="2"/>
      <c r="AF405" s="2"/>
      <c r="AG405" s="2"/>
      <c r="AH405" s="2"/>
      <c r="AI405" s="2"/>
      <c r="AJ405" s="2"/>
      <c r="AK405" s="2"/>
    </row>
    <row r="406" spans="2:37">
      <c r="B406" s="45" t="s">
        <v>52</v>
      </c>
      <c r="C406" s="340">
        <v>45</v>
      </c>
      <c r="D406" s="341">
        <v>0</v>
      </c>
      <c r="E406" s="327"/>
      <c r="F406" s="652">
        <v>0</v>
      </c>
      <c r="G406" s="653"/>
      <c r="H406" s="330">
        <f t="shared" si="66"/>
        <v>0</v>
      </c>
      <c r="J406" s="652">
        <v>0</v>
      </c>
      <c r="K406" s="653"/>
      <c r="L406" s="330">
        <f t="shared" si="67"/>
        <v>0</v>
      </c>
      <c r="M406" s="2"/>
      <c r="N406" s="2"/>
      <c r="O406" s="2"/>
      <c r="P406" s="2"/>
      <c r="Q406" s="2"/>
      <c r="R406" s="2"/>
      <c r="S406" s="2"/>
      <c r="T406" s="2"/>
      <c r="U406" s="2"/>
      <c r="V406" s="2"/>
      <c r="W406" s="2"/>
      <c r="X406" s="2"/>
      <c r="Y406" s="2"/>
      <c r="Z406" s="2"/>
      <c r="AA406" s="2"/>
      <c r="AB406" s="2"/>
      <c r="AC406" s="2"/>
      <c r="AD406" s="2"/>
      <c r="AE406" s="2"/>
      <c r="AF406" s="2"/>
      <c r="AG406" s="2"/>
      <c r="AH406" s="2"/>
      <c r="AI406" s="2"/>
      <c r="AJ406" s="2"/>
      <c r="AK406" s="2"/>
    </row>
    <row r="407" spans="2:37">
      <c r="B407" s="342" t="s">
        <v>72</v>
      </c>
      <c r="C407" s="343">
        <v>46</v>
      </c>
      <c r="D407" s="344">
        <v>0</v>
      </c>
      <c r="E407" s="327"/>
      <c r="F407" s="654">
        <v>0</v>
      </c>
      <c r="G407" s="655"/>
      <c r="H407" s="332">
        <f t="shared" si="66"/>
        <v>0</v>
      </c>
      <c r="J407" s="676"/>
      <c r="K407" s="677"/>
      <c r="L407" s="345"/>
      <c r="M407" s="2"/>
      <c r="N407" s="2"/>
      <c r="O407" s="2"/>
      <c r="P407" s="2"/>
      <c r="Q407" s="2"/>
      <c r="R407" s="2"/>
      <c r="S407" s="2"/>
      <c r="T407" s="2"/>
      <c r="U407" s="2"/>
      <c r="V407" s="2"/>
      <c r="W407" s="2"/>
      <c r="X407" s="2"/>
      <c r="Y407" s="2"/>
      <c r="Z407" s="2"/>
      <c r="AA407" s="2"/>
      <c r="AB407" s="2"/>
      <c r="AC407" s="2"/>
      <c r="AD407" s="2"/>
      <c r="AE407" s="2"/>
      <c r="AF407" s="2"/>
      <c r="AG407" s="2"/>
      <c r="AH407" s="2"/>
      <c r="AI407" s="2"/>
      <c r="AJ407" s="2"/>
      <c r="AK407" s="2"/>
    </row>
    <row r="408" spans="2:37">
      <c r="B408" s="45" t="s">
        <v>54</v>
      </c>
      <c r="C408" s="340"/>
      <c r="D408" s="329">
        <f>[1]C051!$C$21</f>
        <v>0</v>
      </c>
      <c r="E408" s="327"/>
      <c r="F408" s="671">
        <f>[1]C051!$D$21</f>
        <v>0</v>
      </c>
      <c r="G408" s="653"/>
      <c r="H408" s="330">
        <f t="shared" si="66"/>
        <v>0</v>
      </c>
      <c r="J408" s="671">
        <f>[1]C051!$E$21</f>
        <v>0</v>
      </c>
      <c r="K408" s="653"/>
      <c r="L408" s="330">
        <f>IF(F408=0,0,((J408-F408)/F408))</f>
        <v>0</v>
      </c>
      <c r="M408" s="2"/>
      <c r="N408" s="2"/>
      <c r="O408" s="2"/>
      <c r="P408" s="2"/>
      <c r="Q408" s="2"/>
      <c r="R408" s="2"/>
      <c r="S408" s="2"/>
      <c r="T408" s="2"/>
      <c r="U408" s="2"/>
      <c r="V408" s="2"/>
      <c r="W408" s="2"/>
      <c r="X408" s="2"/>
      <c r="Y408" s="2"/>
      <c r="Z408" s="2"/>
      <c r="AA408" s="2"/>
      <c r="AB408" s="2"/>
      <c r="AC408" s="2"/>
      <c r="AD408" s="2"/>
      <c r="AE408" s="2"/>
      <c r="AF408" s="2"/>
      <c r="AG408" s="2"/>
      <c r="AH408" s="2"/>
      <c r="AI408" s="2"/>
      <c r="AJ408" s="2"/>
      <c r="AK408" s="2"/>
    </row>
    <row r="409" spans="2:37">
      <c r="B409" s="342" t="s">
        <v>55</v>
      </c>
      <c r="C409" s="343"/>
      <c r="D409" s="346">
        <f>SUM([1]C053!$C$55:$C$66)</f>
        <v>0</v>
      </c>
      <c r="E409" s="327"/>
      <c r="F409" s="656">
        <f>SUM([1]C053!$D$55:$D$66)</f>
        <v>0</v>
      </c>
      <c r="G409" s="655"/>
      <c r="H409" s="332">
        <f t="shared" si="66"/>
        <v>0</v>
      </c>
      <c r="J409" s="678"/>
      <c r="K409" s="679"/>
      <c r="L409" s="347"/>
      <c r="M409" s="2"/>
      <c r="N409" s="2"/>
      <c r="O409" s="2"/>
      <c r="P409" s="2"/>
      <c r="Q409" s="2"/>
      <c r="R409" s="2"/>
      <c r="S409" s="2"/>
      <c r="T409" s="2"/>
      <c r="U409" s="2"/>
      <c r="V409" s="2"/>
      <c r="W409" s="2"/>
      <c r="X409" s="2"/>
      <c r="Y409" s="2"/>
      <c r="Z409" s="2"/>
      <c r="AA409" s="2"/>
      <c r="AB409" s="2"/>
      <c r="AC409" s="2"/>
      <c r="AD409" s="2"/>
      <c r="AE409" s="2"/>
      <c r="AF409" s="2"/>
      <c r="AG409" s="2"/>
      <c r="AH409" s="2"/>
      <c r="AI409" s="2"/>
      <c r="AJ409" s="2"/>
      <c r="AK409" s="2"/>
    </row>
    <row r="410" spans="2:37">
      <c r="B410" s="45" t="s">
        <v>56</v>
      </c>
      <c r="C410" s="340"/>
      <c r="D410" s="341">
        <v>0</v>
      </c>
      <c r="E410" s="327"/>
      <c r="F410" s="652">
        <v>0</v>
      </c>
      <c r="G410" s="653"/>
      <c r="H410" s="330">
        <f t="shared" si="66"/>
        <v>0</v>
      </c>
      <c r="J410" s="680"/>
      <c r="K410" s="681"/>
      <c r="L410" s="348"/>
      <c r="M410" s="2"/>
      <c r="N410" s="2"/>
      <c r="O410" s="2"/>
      <c r="P410" s="2"/>
      <c r="Q410" s="2"/>
      <c r="R410" s="2"/>
      <c r="S410" s="2"/>
      <c r="T410" s="2"/>
      <c r="U410" s="2"/>
      <c r="V410" s="2"/>
      <c r="W410" s="2"/>
      <c r="X410" s="2"/>
      <c r="Y410" s="2"/>
      <c r="Z410" s="2"/>
      <c r="AA410" s="2"/>
      <c r="AB410" s="2"/>
      <c r="AC410" s="2"/>
      <c r="AD410" s="2"/>
      <c r="AE410" s="2"/>
      <c r="AF410" s="2"/>
      <c r="AG410" s="2"/>
      <c r="AH410" s="2"/>
      <c r="AI410" s="2"/>
      <c r="AJ410" s="2"/>
      <c r="AK410" s="2"/>
    </row>
    <row r="411" spans="2:37">
      <c r="B411" s="342" t="s">
        <v>57</v>
      </c>
      <c r="C411" s="343"/>
      <c r="D411" s="344">
        <v>0</v>
      </c>
      <c r="E411" s="327"/>
      <c r="F411" s="654">
        <v>0</v>
      </c>
      <c r="G411" s="655"/>
      <c r="H411" s="332">
        <f t="shared" si="66"/>
        <v>0</v>
      </c>
      <c r="J411" s="682"/>
      <c r="K411" s="683"/>
      <c r="L411" s="349"/>
      <c r="M411" s="2"/>
      <c r="N411" s="2"/>
      <c r="O411" s="2"/>
      <c r="P411" s="2"/>
      <c r="Q411" s="2"/>
      <c r="R411" s="2"/>
      <c r="S411" s="2"/>
      <c r="T411" s="2"/>
      <c r="U411" s="2"/>
      <c r="V411" s="2"/>
      <c r="W411" s="2"/>
      <c r="X411" s="2"/>
      <c r="Y411" s="2"/>
      <c r="Z411" s="2"/>
      <c r="AA411" s="2"/>
      <c r="AB411" s="2"/>
      <c r="AC411" s="2"/>
      <c r="AD411" s="2"/>
      <c r="AE411" s="2"/>
      <c r="AF411" s="2"/>
      <c r="AG411" s="2"/>
      <c r="AH411" s="2"/>
      <c r="AI411" s="2"/>
      <c r="AJ411" s="2"/>
      <c r="AK411" s="2"/>
    </row>
    <row r="412" spans="2:37">
      <c r="B412" s="350" t="str">
        <f>B1118</f>
        <v>Bond and Interest #1</v>
      </c>
      <c r="C412" s="340">
        <v>62</v>
      </c>
      <c r="D412" s="341">
        <v>0</v>
      </c>
      <c r="E412" s="327"/>
      <c r="F412" s="652">
        <v>0</v>
      </c>
      <c r="G412" s="653"/>
      <c r="H412" s="330">
        <f t="shared" si="66"/>
        <v>0</v>
      </c>
      <c r="J412" s="652">
        <v>0</v>
      </c>
      <c r="K412" s="653"/>
      <c r="L412" s="330">
        <f t="shared" ref="L412:L423" si="68">IF(F412=0,0,((J412-F412)/F412))</f>
        <v>0</v>
      </c>
      <c r="M412" s="2"/>
      <c r="N412" s="2"/>
      <c r="O412" s="2"/>
      <c r="P412" s="2"/>
      <c r="Q412" s="2"/>
      <c r="R412" s="2"/>
      <c r="S412" s="2"/>
      <c r="T412" s="2"/>
      <c r="U412" s="2"/>
      <c r="V412" s="2"/>
      <c r="W412" s="2"/>
      <c r="X412" s="2"/>
      <c r="Y412" s="2"/>
      <c r="Z412" s="2"/>
      <c r="AA412" s="2"/>
      <c r="AB412" s="2"/>
      <c r="AC412" s="2"/>
      <c r="AD412" s="2"/>
      <c r="AE412" s="2"/>
      <c r="AF412" s="2"/>
      <c r="AG412" s="2"/>
      <c r="AH412" s="2"/>
      <c r="AI412" s="2"/>
      <c r="AJ412" s="2"/>
      <c r="AK412" s="2"/>
    </row>
    <row r="413" spans="2:37">
      <c r="B413" s="351" t="str">
        <f>B1119</f>
        <v>Bond and Interest #2</v>
      </c>
      <c r="C413" s="343">
        <v>63</v>
      </c>
      <c r="D413" s="344">
        <v>0</v>
      </c>
      <c r="E413" s="327"/>
      <c r="F413" s="654">
        <v>0</v>
      </c>
      <c r="G413" s="655"/>
      <c r="H413" s="332">
        <f t="shared" si="66"/>
        <v>0</v>
      </c>
      <c r="J413" s="654">
        <v>0</v>
      </c>
      <c r="K413" s="655"/>
      <c r="L413" s="332">
        <f t="shared" si="68"/>
        <v>0</v>
      </c>
      <c r="M413" s="2"/>
      <c r="N413" s="2"/>
      <c r="O413" s="2"/>
      <c r="P413" s="2"/>
      <c r="Q413" s="2"/>
      <c r="R413" s="2"/>
      <c r="S413" s="2"/>
      <c r="T413" s="2"/>
      <c r="U413" s="2"/>
      <c r="V413" s="2"/>
      <c r="W413" s="2"/>
      <c r="X413" s="2"/>
      <c r="Y413" s="2"/>
      <c r="Z413" s="2"/>
      <c r="AA413" s="2"/>
      <c r="AB413" s="2"/>
      <c r="AC413" s="2"/>
      <c r="AD413" s="2"/>
      <c r="AE413" s="2"/>
      <c r="AF413" s="2"/>
      <c r="AG413" s="2"/>
      <c r="AH413" s="2"/>
      <c r="AI413" s="2"/>
      <c r="AJ413" s="2"/>
      <c r="AK413" s="2"/>
    </row>
    <row r="414" spans="2:37">
      <c r="B414" s="45" t="s">
        <v>58</v>
      </c>
      <c r="C414" s="340">
        <v>66</v>
      </c>
      <c r="D414" s="341">
        <v>0</v>
      </c>
      <c r="E414" s="327"/>
      <c r="F414" s="652">
        <v>0</v>
      </c>
      <c r="G414" s="653"/>
      <c r="H414" s="330">
        <f t="shared" si="66"/>
        <v>0</v>
      </c>
      <c r="J414" s="652">
        <v>0</v>
      </c>
      <c r="K414" s="653"/>
      <c r="L414" s="330">
        <f t="shared" si="68"/>
        <v>0</v>
      </c>
      <c r="M414" s="2"/>
      <c r="N414" s="2"/>
      <c r="O414" s="2"/>
      <c r="P414" s="2"/>
      <c r="Q414" s="2"/>
      <c r="R414" s="2"/>
      <c r="S414" s="2"/>
      <c r="T414" s="2"/>
      <c r="U414" s="2"/>
      <c r="V414" s="2"/>
      <c r="W414" s="2"/>
      <c r="X414" s="2"/>
      <c r="Y414" s="2"/>
      <c r="Z414" s="2"/>
      <c r="AA414" s="2"/>
      <c r="AB414" s="2"/>
      <c r="AC414" s="2"/>
      <c r="AD414" s="2"/>
      <c r="AE414" s="2"/>
      <c r="AF414" s="2"/>
      <c r="AG414" s="2"/>
      <c r="AH414" s="2"/>
      <c r="AI414" s="2"/>
      <c r="AJ414" s="2"/>
      <c r="AK414" s="2"/>
    </row>
    <row r="415" spans="2:37">
      <c r="B415" s="342" t="s">
        <v>59</v>
      </c>
      <c r="C415" s="343">
        <v>67</v>
      </c>
      <c r="D415" s="344">
        <v>0</v>
      </c>
      <c r="E415" s="327"/>
      <c r="F415" s="654">
        <v>0</v>
      </c>
      <c r="G415" s="655"/>
      <c r="H415" s="332">
        <f t="shared" si="66"/>
        <v>0</v>
      </c>
      <c r="J415" s="654">
        <v>0</v>
      </c>
      <c r="K415" s="655"/>
      <c r="L415" s="332">
        <f t="shared" si="68"/>
        <v>0</v>
      </c>
      <c r="M415" s="2"/>
      <c r="N415" s="2"/>
      <c r="O415" s="2"/>
      <c r="P415" s="2"/>
      <c r="Q415" s="2"/>
      <c r="R415" s="2"/>
      <c r="S415" s="2"/>
      <c r="T415" s="2"/>
      <c r="U415" s="2"/>
      <c r="V415" s="2"/>
      <c r="W415" s="2"/>
      <c r="X415" s="2"/>
      <c r="Y415" s="2"/>
      <c r="Z415" s="2"/>
      <c r="AA415" s="2"/>
      <c r="AB415" s="2"/>
      <c r="AC415" s="2"/>
      <c r="AD415" s="2"/>
      <c r="AE415" s="2"/>
      <c r="AF415" s="2"/>
      <c r="AG415" s="2"/>
      <c r="AH415" s="2"/>
      <c r="AI415" s="2"/>
      <c r="AJ415" s="2"/>
      <c r="AK415" s="2"/>
    </row>
    <row r="416" spans="2:37" ht="15" thickBot="1">
      <c r="B416" s="45" t="s">
        <v>60</v>
      </c>
      <c r="C416" s="340">
        <v>68</v>
      </c>
      <c r="D416" s="341">
        <v>0</v>
      </c>
      <c r="E416" s="327"/>
      <c r="F416" s="669">
        <v>0</v>
      </c>
      <c r="G416" s="670"/>
      <c r="H416" s="247">
        <f t="shared" si="66"/>
        <v>0</v>
      </c>
      <c r="J416" s="669">
        <v>0</v>
      </c>
      <c r="K416" s="670"/>
      <c r="L416" s="247">
        <f t="shared" si="68"/>
        <v>0</v>
      </c>
      <c r="M416" s="2"/>
      <c r="N416" s="2"/>
      <c r="O416" s="2"/>
      <c r="P416" s="2"/>
      <c r="Q416" s="2"/>
      <c r="R416" s="2"/>
      <c r="S416" s="2"/>
      <c r="T416" s="2"/>
      <c r="U416" s="2"/>
      <c r="V416" s="2"/>
      <c r="W416" s="2"/>
      <c r="X416" s="2"/>
      <c r="Y416" s="2"/>
      <c r="Z416" s="2"/>
      <c r="AA416" s="2"/>
      <c r="AB416" s="2"/>
      <c r="AC416" s="2"/>
      <c r="AD416" s="2"/>
      <c r="AE416" s="2"/>
      <c r="AF416" s="2"/>
      <c r="AG416" s="2"/>
      <c r="AH416" s="2"/>
      <c r="AI416" s="2"/>
      <c r="AJ416" s="2"/>
      <c r="AK416" s="2"/>
    </row>
    <row r="417" spans="2:37" ht="15" thickTop="1">
      <c r="B417" s="353" t="s">
        <v>61</v>
      </c>
      <c r="C417" s="353"/>
      <c r="D417" s="371">
        <f>SUM(D385:D416)</f>
        <v>2063</v>
      </c>
      <c r="E417" s="327"/>
      <c r="F417" s="667">
        <f>SUM(F385:G416)</f>
        <v>267</v>
      </c>
      <c r="G417" s="668"/>
      <c r="H417" s="372">
        <f t="shared" si="66"/>
        <v>-0.87</v>
      </c>
      <c r="J417" s="667">
        <f>SUM(J385:K416)</f>
        <v>0</v>
      </c>
      <c r="K417" s="668"/>
      <c r="L417" s="372">
        <f t="shared" si="68"/>
        <v>-1</v>
      </c>
      <c r="M417" s="2"/>
      <c r="N417" s="2"/>
      <c r="O417" s="2"/>
      <c r="P417" s="2"/>
      <c r="Q417" s="2"/>
      <c r="R417" s="2"/>
      <c r="S417" s="2"/>
      <c r="T417" s="2"/>
      <c r="U417" s="2"/>
      <c r="V417" s="2"/>
      <c r="W417" s="2"/>
      <c r="X417" s="2"/>
      <c r="Y417" s="2"/>
      <c r="Z417" s="2"/>
      <c r="AA417" s="2"/>
      <c r="AB417" s="2"/>
      <c r="AC417" s="2"/>
      <c r="AD417" s="2"/>
      <c r="AE417" s="2"/>
      <c r="AF417" s="2"/>
      <c r="AG417" s="2"/>
      <c r="AH417" s="2"/>
      <c r="AI417" s="2"/>
      <c r="AJ417" s="2"/>
      <c r="AK417" s="2"/>
    </row>
    <row r="418" spans="2:37" ht="15.75">
      <c r="B418" s="45" t="s">
        <v>181</v>
      </c>
      <c r="C418" s="45"/>
      <c r="D418" s="356">
        <f>G1312</f>
        <v>70.7</v>
      </c>
      <c r="E418" s="327"/>
      <c r="F418" s="665">
        <f>I1312</f>
        <v>82.5</v>
      </c>
      <c r="G418" s="666"/>
      <c r="H418" s="247">
        <f t="shared" si="66"/>
        <v>0.17</v>
      </c>
      <c r="J418" s="665">
        <f>K1312</f>
        <v>70</v>
      </c>
      <c r="K418" s="666"/>
      <c r="L418" s="247">
        <f t="shared" si="68"/>
        <v>-0.15</v>
      </c>
      <c r="M418" s="2"/>
      <c r="N418" s="2"/>
      <c r="O418" s="2"/>
      <c r="P418" s="2"/>
      <c r="Q418" s="2"/>
      <c r="R418" s="2"/>
      <c r="S418" s="2"/>
      <c r="T418" s="2"/>
      <c r="U418" s="2"/>
      <c r="V418" s="2"/>
      <c r="W418" s="2"/>
      <c r="X418" s="2"/>
      <c r="Y418" s="2"/>
      <c r="Z418" s="2"/>
      <c r="AA418" s="2"/>
      <c r="AB418" s="2"/>
      <c r="AC418" s="2"/>
      <c r="AD418" s="2"/>
      <c r="AE418" s="2"/>
      <c r="AF418" s="2"/>
      <c r="AG418" s="2"/>
      <c r="AH418" s="2"/>
      <c r="AI418" s="2"/>
      <c r="AJ418" s="2"/>
      <c r="AK418" s="2"/>
    </row>
    <row r="419" spans="2:37" ht="16.5" thickBot="1">
      <c r="B419" s="342" t="s">
        <v>182</v>
      </c>
      <c r="C419" s="342"/>
      <c r="D419" s="346">
        <f>IF(D417=0,0,D417/D418)</f>
        <v>29</v>
      </c>
      <c r="E419" s="327"/>
      <c r="F419" s="663">
        <f>IF(F417=0,0,F417/F418)</f>
        <v>3</v>
      </c>
      <c r="G419" s="664"/>
      <c r="H419" s="357">
        <f t="shared" si="66"/>
        <v>-0.9</v>
      </c>
      <c r="J419" s="663">
        <f>IF(J417=0,0,J417/J418)</f>
        <v>0</v>
      </c>
      <c r="K419" s="664"/>
      <c r="L419" s="357">
        <f t="shared" si="68"/>
        <v>-1</v>
      </c>
      <c r="M419" s="2"/>
      <c r="N419" s="2"/>
      <c r="O419" s="2"/>
      <c r="P419" s="2"/>
      <c r="Q419" s="2"/>
      <c r="R419" s="2"/>
      <c r="S419" s="2"/>
      <c r="T419" s="2"/>
      <c r="U419" s="2"/>
      <c r="V419" s="2"/>
      <c r="W419" s="2"/>
      <c r="X419" s="2"/>
      <c r="Y419" s="2"/>
      <c r="Z419" s="2"/>
      <c r="AA419" s="2"/>
      <c r="AB419" s="2"/>
      <c r="AC419" s="2"/>
      <c r="AD419" s="2"/>
      <c r="AE419" s="2"/>
      <c r="AF419" s="2"/>
      <c r="AG419" s="2"/>
      <c r="AH419" s="2"/>
      <c r="AI419" s="2"/>
      <c r="AJ419" s="2"/>
      <c r="AK419" s="2"/>
    </row>
    <row r="420" spans="2:37">
      <c r="B420" s="358" t="s">
        <v>63</v>
      </c>
      <c r="C420" s="358"/>
      <c r="D420" s="359">
        <f>SUM([1]C010!$C$89:$C$100)</f>
        <v>0</v>
      </c>
      <c r="E420" s="327"/>
      <c r="F420" s="769">
        <f>SUM([1]C010!$D$89:$D$100)</f>
        <v>0</v>
      </c>
      <c r="G420" s="662"/>
      <c r="H420" s="360">
        <f t="shared" si="66"/>
        <v>0</v>
      </c>
      <c r="J420" s="769">
        <f>SUM([1]C010!$E$89:$E$100)</f>
        <v>0</v>
      </c>
      <c r="K420" s="662"/>
      <c r="L420" s="360">
        <f t="shared" si="68"/>
        <v>0</v>
      </c>
      <c r="M420" s="2"/>
      <c r="N420" s="2"/>
      <c r="O420" s="2"/>
      <c r="P420" s="2"/>
      <c r="Q420" s="2"/>
      <c r="R420" s="2"/>
      <c r="S420" s="2"/>
      <c r="T420" s="2"/>
      <c r="U420" s="2"/>
      <c r="V420" s="2"/>
      <c r="W420" s="2"/>
      <c r="X420" s="2"/>
      <c r="Y420" s="2"/>
      <c r="Z420" s="2"/>
      <c r="AA420" s="2"/>
      <c r="AB420" s="2"/>
      <c r="AC420" s="2"/>
      <c r="AD420" s="2"/>
      <c r="AE420" s="2"/>
      <c r="AF420" s="2"/>
      <c r="AG420" s="2"/>
      <c r="AH420" s="2"/>
      <c r="AI420" s="2"/>
      <c r="AJ420" s="2"/>
      <c r="AK420" s="2"/>
    </row>
    <row r="421" spans="2:37" ht="17.25" customHeight="1">
      <c r="B421" s="342" t="s">
        <v>64</v>
      </c>
      <c r="C421" s="342"/>
      <c r="D421" s="331">
        <f>SUM([1]C012!$C$62:$C$73)</f>
        <v>0</v>
      </c>
      <c r="E421" s="327"/>
      <c r="F421" s="656">
        <f>SUM([1]C012!$D$62:$D$73)</f>
        <v>0</v>
      </c>
      <c r="G421" s="655"/>
      <c r="H421" s="332">
        <f t="shared" si="66"/>
        <v>0</v>
      </c>
      <c r="J421" s="656">
        <f>SUM([1]C012!$E$62:$E$73)</f>
        <v>0</v>
      </c>
      <c r="K421" s="655"/>
      <c r="L421" s="332">
        <f t="shared" si="68"/>
        <v>0</v>
      </c>
      <c r="M421" s="2"/>
      <c r="N421" s="2"/>
      <c r="O421" s="2"/>
      <c r="P421" s="2"/>
      <c r="Q421" s="2"/>
      <c r="R421" s="2"/>
      <c r="S421" s="2"/>
      <c r="T421" s="2"/>
      <c r="U421" s="2"/>
      <c r="V421" s="2"/>
      <c r="W421" s="2"/>
      <c r="X421" s="2"/>
      <c r="Y421" s="2"/>
      <c r="Z421" s="2"/>
      <c r="AA421" s="2"/>
      <c r="AB421" s="2"/>
      <c r="AC421" s="2"/>
      <c r="AD421" s="2"/>
      <c r="AE421" s="2"/>
      <c r="AF421" s="2"/>
      <c r="AG421" s="2"/>
      <c r="AH421" s="2"/>
      <c r="AI421" s="2"/>
      <c r="AJ421" s="2"/>
      <c r="AK421" s="2"/>
    </row>
    <row r="422" spans="2:37" ht="15" thickBot="1">
      <c r="B422" s="361" t="s">
        <v>65</v>
      </c>
      <c r="C422" s="361"/>
      <c r="D422" s="362">
        <f>SUM([1]C078!$C$63:$C$74)</f>
        <v>0</v>
      </c>
      <c r="E422" s="327"/>
      <c r="F422" s="684">
        <f>SUM([1]C078!$D$63:$D$74)</f>
        <v>0</v>
      </c>
      <c r="G422" s="660"/>
      <c r="H422" s="363">
        <f t="shared" si="66"/>
        <v>0</v>
      </c>
      <c r="J422" s="684">
        <f>SUM([1]C078!$E$63:$E$74)</f>
        <v>0</v>
      </c>
      <c r="K422" s="660"/>
      <c r="L422" s="363">
        <f t="shared" si="68"/>
        <v>0</v>
      </c>
      <c r="M422" s="2"/>
      <c r="N422" s="2"/>
      <c r="O422" s="2"/>
      <c r="P422" s="2"/>
      <c r="Q422" s="2"/>
      <c r="R422" s="2"/>
      <c r="S422" s="2"/>
      <c r="T422" s="2"/>
      <c r="U422" s="2"/>
      <c r="V422" s="2"/>
      <c r="W422" s="2"/>
      <c r="X422" s="2"/>
      <c r="Y422" s="2"/>
      <c r="Z422" s="2"/>
      <c r="AA422" s="2"/>
      <c r="AB422" s="2"/>
      <c r="AC422" s="2"/>
      <c r="AD422" s="2"/>
      <c r="AE422" s="2"/>
      <c r="AF422" s="2"/>
      <c r="AG422" s="2"/>
      <c r="AH422" s="2"/>
      <c r="AI422" s="2"/>
      <c r="AJ422" s="2"/>
      <c r="AK422" s="2"/>
    </row>
    <row r="423" spans="2:37" ht="15" thickTop="1">
      <c r="B423" s="365" t="s">
        <v>66</v>
      </c>
      <c r="C423" s="365"/>
      <c r="D423" s="373">
        <f>SUM(D420:D422,D417)</f>
        <v>2063</v>
      </c>
      <c r="E423" s="327"/>
      <c r="F423" s="657">
        <f>SUM(F420:G422,F417)</f>
        <v>267</v>
      </c>
      <c r="G423" s="658"/>
      <c r="H423" s="374">
        <f t="shared" si="66"/>
        <v>-0.87</v>
      </c>
      <c r="J423" s="657">
        <f>SUM(J420:K422,J417)</f>
        <v>0</v>
      </c>
      <c r="K423" s="658"/>
      <c r="L423" s="374">
        <f t="shared" si="68"/>
        <v>-1</v>
      </c>
      <c r="M423" s="2"/>
      <c r="N423" s="2"/>
      <c r="O423" s="2"/>
      <c r="P423" s="2"/>
      <c r="Q423" s="2"/>
      <c r="R423" s="2"/>
      <c r="S423" s="2"/>
      <c r="T423" s="2"/>
      <c r="U423" s="2"/>
      <c r="V423" s="2"/>
      <c r="W423" s="2"/>
      <c r="X423" s="2"/>
      <c r="Y423" s="2"/>
      <c r="Z423" s="2"/>
      <c r="AA423" s="2"/>
      <c r="AB423" s="2"/>
      <c r="AC423" s="2"/>
      <c r="AD423" s="2"/>
      <c r="AE423" s="2"/>
      <c r="AF423" s="2"/>
      <c r="AG423" s="2"/>
      <c r="AH423" s="2"/>
      <c r="AI423" s="2"/>
      <c r="AJ423" s="2"/>
      <c r="AK423" s="2"/>
    </row>
    <row r="424" spans="2:37" ht="6.75" customHeight="1">
      <c r="B424" s="2"/>
      <c r="C424" s="2"/>
      <c r="D424" s="159"/>
      <c r="E424" s="2"/>
      <c r="F424" s="159"/>
      <c r="G424" s="201"/>
      <c r="H424" s="2"/>
      <c r="I424" s="159"/>
      <c r="J424" s="201"/>
      <c r="K424" s="2"/>
      <c r="L424" s="2"/>
      <c r="M424" s="2"/>
      <c r="N424" s="2"/>
      <c r="O424" s="2"/>
      <c r="P424" s="2"/>
      <c r="Q424" s="2"/>
      <c r="R424" s="2"/>
      <c r="S424" s="2"/>
      <c r="T424" s="2"/>
      <c r="U424" s="2"/>
      <c r="V424" s="2"/>
      <c r="W424" s="2"/>
      <c r="X424" s="2"/>
      <c r="Y424" s="2"/>
      <c r="Z424" s="2"/>
      <c r="AA424" s="2"/>
      <c r="AB424" s="2"/>
      <c r="AC424" s="2"/>
      <c r="AD424" s="2"/>
      <c r="AE424" s="2"/>
      <c r="AF424" s="2"/>
      <c r="AG424" s="2"/>
      <c r="AH424" s="2"/>
      <c r="AI424" s="2"/>
      <c r="AJ424" s="2"/>
      <c r="AK424" s="2"/>
    </row>
    <row r="425" spans="2:37" ht="17.25" customHeight="1">
      <c r="B425" s="649"/>
      <c r="C425" s="649"/>
      <c r="D425" s="649"/>
      <c r="E425" s="649"/>
      <c r="F425" s="649"/>
      <c r="G425" s="649"/>
      <c r="H425" s="649"/>
      <c r="I425" s="649"/>
      <c r="J425" s="649"/>
      <c r="K425" s="649"/>
      <c r="L425" s="649"/>
      <c r="M425" s="2"/>
      <c r="N425" s="2"/>
      <c r="O425" s="2"/>
      <c r="P425" s="2"/>
      <c r="Q425" s="2"/>
      <c r="R425" s="2"/>
      <c r="S425" s="2"/>
      <c r="T425" s="2"/>
      <c r="U425" s="2"/>
      <c r="V425" s="2"/>
      <c r="W425" s="2"/>
      <c r="X425" s="2"/>
      <c r="Y425" s="2"/>
      <c r="Z425" s="2"/>
      <c r="AA425" s="2"/>
      <c r="AB425" s="2"/>
      <c r="AC425" s="2"/>
      <c r="AD425" s="2"/>
      <c r="AE425" s="2"/>
      <c r="AF425" s="2"/>
      <c r="AG425" s="2"/>
      <c r="AH425" s="2"/>
      <c r="AI425" s="2"/>
      <c r="AJ425" s="2"/>
      <c r="AK425" s="2"/>
    </row>
    <row r="426" spans="2:37">
      <c r="B426" s="649"/>
      <c r="C426" s="649"/>
      <c r="D426" s="649"/>
      <c r="E426" s="649"/>
      <c r="F426" s="649"/>
      <c r="G426" s="649"/>
      <c r="H426" s="649"/>
      <c r="I426" s="649"/>
      <c r="J426" s="649"/>
      <c r="K426" s="649"/>
      <c r="L426" s="649"/>
      <c r="M426" s="2"/>
      <c r="N426" s="2"/>
      <c r="O426" s="2"/>
      <c r="P426" s="2"/>
      <c r="Q426" s="2"/>
      <c r="R426" s="2"/>
      <c r="S426" s="2"/>
      <c r="T426" s="2"/>
      <c r="U426" s="2"/>
      <c r="V426" s="2"/>
      <c r="W426" s="2"/>
      <c r="X426" s="2"/>
      <c r="Y426" s="2"/>
      <c r="Z426" s="2"/>
      <c r="AA426" s="2"/>
      <c r="AB426" s="2"/>
      <c r="AC426" s="2"/>
      <c r="AD426" s="2"/>
      <c r="AE426" s="2"/>
      <c r="AF426" s="2"/>
      <c r="AG426" s="2"/>
      <c r="AH426" s="2"/>
      <c r="AI426" s="2"/>
      <c r="AJ426" s="2"/>
      <c r="AK426" s="2"/>
    </row>
    <row r="427" spans="2:37">
      <c r="B427" s="649"/>
      <c r="C427" s="649"/>
      <c r="D427" s="649"/>
      <c r="E427" s="649"/>
      <c r="F427" s="649"/>
      <c r="G427" s="649"/>
      <c r="H427" s="649"/>
      <c r="I427" s="649"/>
      <c r="J427" s="649"/>
      <c r="K427" s="649"/>
      <c r="L427" s="649"/>
      <c r="M427" s="2"/>
      <c r="N427" s="2"/>
      <c r="O427" s="2"/>
      <c r="P427" s="2"/>
      <c r="Q427" s="2"/>
      <c r="R427" s="2"/>
      <c r="S427" s="2"/>
      <c r="T427" s="2"/>
      <c r="U427" s="2"/>
      <c r="V427" s="2"/>
      <c r="W427" s="2"/>
      <c r="X427" s="2"/>
      <c r="Y427" s="2"/>
      <c r="Z427" s="2"/>
      <c r="AA427" s="2"/>
      <c r="AB427" s="2"/>
      <c r="AC427" s="2"/>
      <c r="AD427" s="2"/>
      <c r="AE427" s="2"/>
      <c r="AF427" s="2"/>
      <c r="AG427" s="2"/>
      <c r="AH427" s="2"/>
      <c r="AI427" s="2"/>
      <c r="AJ427" s="2"/>
      <c r="AK427" s="2"/>
    </row>
    <row r="428" spans="2:37">
      <c r="B428" s="205"/>
      <c r="C428" s="2"/>
      <c r="D428" s="159"/>
      <c r="E428" s="2"/>
      <c r="F428" s="159"/>
      <c r="G428" s="2"/>
      <c r="H428" s="2"/>
      <c r="I428" s="159"/>
      <c r="J428" s="2"/>
      <c r="K428" s="2"/>
      <c r="L428" s="2"/>
      <c r="M428" s="2"/>
      <c r="N428" s="2"/>
      <c r="O428" s="2"/>
      <c r="P428" s="2"/>
      <c r="Q428" s="2"/>
      <c r="R428" s="2"/>
      <c r="S428" s="2"/>
      <c r="T428" s="2"/>
      <c r="U428" s="2"/>
      <c r="V428" s="2"/>
      <c r="W428" s="2"/>
      <c r="X428" s="2"/>
      <c r="Y428" s="2"/>
      <c r="Z428" s="2"/>
      <c r="AA428" s="2"/>
      <c r="AB428" s="2"/>
      <c r="AC428" s="2"/>
      <c r="AD428" s="2"/>
      <c r="AE428" s="2"/>
      <c r="AF428" s="2"/>
      <c r="AG428" s="2"/>
      <c r="AH428" s="2"/>
      <c r="AI428" s="2"/>
      <c r="AJ428" s="2"/>
      <c r="AK428" s="2"/>
    </row>
    <row r="429" spans="2:37">
      <c r="M429" s="2"/>
      <c r="N429" s="2"/>
      <c r="O429" s="2"/>
      <c r="P429" s="2"/>
      <c r="Q429" s="2"/>
      <c r="R429" s="2"/>
      <c r="S429" s="2"/>
      <c r="T429" s="2"/>
      <c r="U429" s="2"/>
      <c r="V429" s="2"/>
      <c r="W429" s="2"/>
      <c r="X429" s="2"/>
      <c r="Y429" s="2"/>
      <c r="Z429" s="2"/>
      <c r="AA429" s="2"/>
      <c r="AB429" s="2"/>
      <c r="AC429" s="2"/>
      <c r="AD429" s="2"/>
      <c r="AE429" s="2"/>
      <c r="AF429" s="2"/>
      <c r="AG429" s="2"/>
      <c r="AH429" s="2"/>
      <c r="AI429" s="2"/>
      <c r="AJ429" s="2"/>
      <c r="AK429" s="2"/>
    </row>
    <row r="430" spans="2:37">
      <c r="M430" s="2"/>
      <c r="N430" s="2"/>
      <c r="O430" s="2"/>
      <c r="P430" s="2"/>
      <c r="Q430" s="2"/>
      <c r="R430" s="2"/>
      <c r="S430" s="2"/>
      <c r="T430" s="2"/>
      <c r="U430" s="2"/>
      <c r="V430" s="2"/>
      <c r="W430" s="2"/>
      <c r="X430" s="2"/>
      <c r="Y430" s="2"/>
      <c r="Z430" s="2"/>
      <c r="AA430" s="2"/>
      <c r="AB430" s="2"/>
      <c r="AC430" s="2"/>
      <c r="AD430" s="2"/>
      <c r="AE430" s="2"/>
      <c r="AF430" s="2"/>
      <c r="AG430" s="2"/>
      <c r="AH430" s="2"/>
      <c r="AI430" s="2"/>
      <c r="AJ430" s="2"/>
      <c r="AK430" s="2"/>
    </row>
    <row r="431" spans="2:37">
      <c r="M431" s="2"/>
      <c r="N431" s="2"/>
      <c r="O431" s="2"/>
      <c r="P431" s="2"/>
      <c r="Q431" s="2"/>
      <c r="R431" s="2"/>
      <c r="S431" s="2"/>
      <c r="T431" s="2"/>
      <c r="U431" s="2"/>
      <c r="V431" s="2"/>
      <c r="W431" s="2"/>
      <c r="X431" s="2"/>
      <c r="Y431" s="2"/>
      <c r="Z431" s="2"/>
      <c r="AA431" s="2"/>
      <c r="AB431" s="2"/>
      <c r="AC431" s="2"/>
      <c r="AD431" s="2"/>
      <c r="AE431" s="2"/>
      <c r="AF431" s="2"/>
      <c r="AG431" s="2"/>
      <c r="AH431" s="2"/>
      <c r="AI431" s="2"/>
      <c r="AJ431" s="2"/>
      <c r="AK431" s="2"/>
    </row>
    <row r="432" spans="2:37">
      <c r="M432" s="2"/>
      <c r="N432" s="2"/>
      <c r="S432" s="2"/>
      <c r="T432" s="2"/>
      <c r="U432" s="2"/>
      <c r="V432" s="2"/>
      <c r="W432" s="2"/>
      <c r="X432" s="2"/>
      <c r="Y432" s="2"/>
      <c r="Z432" s="2"/>
      <c r="AA432" s="2"/>
      <c r="AB432" s="2"/>
      <c r="AC432" s="2"/>
      <c r="AD432" s="2"/>
      <c r="AE432" s="2"/>
      <c r="AF432" s="2"/>
      <c r="AG432" s="2"/>
      <c r="AH432" s="2"/>
      <c r="AI432" s="2"/>
      <c r="AJ432" s="2"/>
      <c r="AK432" s="2"/>
    </row>
    <row r="433" spans="2:37">
      <c r="M433" s="2"/>
      <c r="N433" s="2"/>
      <c r="S433" s="2"/>
      <c r="T433" s="2"/>
      <c r="U433" s="2"/>
      <c r="V433" s="2"/>
      <c r="W433" s="2"/>
      <c r="X433" s="2"/>
      <c r="Y433" s="2"/>
      <c r="Z433" s="2"/>
      <c r="AA433" s="2"/>
      <c r="AB433" s="2"/>
      <c r="AC433" s="2"/>
      <c r="AD433" s="2"/>
      <c r="AE433" s="2"/>
      <c r="AF433" s="2"/>
      <c r="AG433" s="2"/>
      <c r="AH433" s="2"/>
      <c r="AI433" s="2"/>
      <c r="AJ433" s="2"/>
      <c r="AK433" s="2"/>
    </row>
    <row r="434" spans="2:37">
      <c r="M434" s="2"/>
      <c r="N434" s="2"/>
      <c r="S434" s="2"/>
      <c r="T434" s="2"/>
      <c r="U434" s="2"/>
      <c r="V434" s="2"/>
      <c r="W434" s="2"/>
      <c r="X434" s="2"/>
      <c r="Y434" s="2"/>
      <c r="Z434" s="2"/>
      <c r="AA434" s="2"/>
      <c r="AB434" s="2"/>
      <c r="AC434" s="2"/>
      <c r="AD434" s="2"/>
      <c r="AE434" s="2"/>
      <c r="AF434" s="2"/>
      <c r="AG434" s="2"/>
      <c r="AH434" s="2"/>
      <c r="AI434" s="2"/>
      <c r="AJ434" s="2"/>
      <c r="AK434" s="2"/>
    </row>
    <row r="435" spans="2:37">
      <c r="B435" s="2"/>
      <c r="C435" s="2"/>
      <c r="D435" s="159"/>
      <c r="E435" s="2"/>
      <c r="F435" s="159"/>
      <c r="G435" s="2"/>
      <c r="H435" s="2"/>
      <c r="I435" s="159"/>
      <c r="J435" s="2"/>
      <c r="K435" s="2"/>
      <c r="L435" s="2"/>
      <c r="M435" s="2"/>
      <c r="N435" s="2"/>
      <c r="O435" s="2"/>
      <c r="P435" s="2"/>
      <c r="Q435" s="2"/>
      <c r="R435" s="2"/>
      <c r="S435" s="2"/>
      <c r="T435" s="2"/>
      <c r="U435" s="2"/>
      <c r="V435" s="2"/>
      <c r="W435" s="2"/>
      <c r="X435" s="2"/>
      <c r="Y435" s="2"/>
      <c r="Z435" s="2"/>
      <c r="AA435" s="2"/>
      <c r="AB435" s="2"/>
      <c r="AC435" s="2"/>
      <c r="AD435" s="2"/>
      <c r="AE435" s="2"/>
      <c r="AF435" s="2"/>
      <c r="AG435" s="2"/>
      <c r="AH435" s="2"/>
      <c r="AI435" s="2"/>
      <c r="AJ435" s="2"/>
      <c r="AK435" s="2"/>
    </row>
    <row r="436" spans="2:37">
      <c r="B436" s="2"/>
      <c r="C436" s="2"/>
      <c r="D436" s="159"/>
      <c r="E436" s="2"/>
      <c r="F436" s="159"/>
      <c r="G436" s="2"/>
      <c r="H436" s="2"/>
      <c r="I436" s="159"/>
      <c r="J436" s="2"/>
      <c r="K436" s="2"/>
      <c r="L436" s="2"/>
      <c r="M436" s="2"/>
      <c r="N436" s="2"/>
      <c r="O436" s="2"/>
      <c r="P436" s="2"/>
      <c r="Q436" s="2"/>
      <c r="R436" s="2"/>
      <c r="S436" s="2"/>
      <c r="T436" s="2"/>
      <c r="U436" s="2"/>
      <c r="V436" s="2"/>
      <c r="W436" s="2"/>
      <c r="X436" s="2"/>
      <c r="Y436" s="2"/>
      <c r="Z436" s="2"/>
      <c r="AA436" s="2"/>
      <c r="AB436" s="2"/>
      <c r="AC436" s="2"/>
      <c r="AD436" s="2"/>
      <c r="AE436" s="2"/>
      <c r="AF436" s="2"/>
      <c r="AG436" s="2"/>
      <c r="AH436" s="2"/>
      <c r="AI436" s="2"/>
      <c r="AJ436" s="2"/>
      <c r="AK436" s="2"/>
    </row>
    <row r="437" spans="2:37">
      <c r="B437" s="2"/>
      <c r="C437" s="2"/>
      <c r="D437" s="159"/>
      <c r="E437" s="2"/>
      <c r="F437" s="159"/>
      <c r="G437" s="2"/>
      <c r="H437" s="2"/>
      <c r="I437" s="159"/>
      <c r="J437" s="2"/>
      <c r="K437" s="2"/>
      <c r="L437" s="2"/>
      <c r="M437" s="2"/>
      <c r="N437" s="2"/>
      <c r="O437" s="2"/>
      <c r="P437" s="140" t="str">
        <f>$B$381</f>
        <v>Student Support Expenditures (2100)</v>
      </c>
      <c r="Q437" s="2"/>
      <c r="R437" s="2"/>
      <c r="S437" s="2"/>
      <c r="T437" s="2"/>
      <c r="U437" s="2"/>
      <c r="V437" s="2"/>
      <c r="W437" s="2"/>
      <c r="X437" s="2"/>
      <c r="Y437" s="2"/>
      <c r="Z437" s="2"/>
      <c r="AA437" s="2"/>
      <c r="AB437" s="2"/>
      <c r="AC437" s="2"/>
      <c r="AD437" s="2"/>
      <c r="AE437" s="2"/>
      <c r="AF437" s="2"/>
      <c r="AG437" s="2"/>
      <c r="AH437" s="2"/>
      <c r="AI437" s="2"/>
      <c r="AJ437" s="2"/>
      <c r="AK437" s="2"/>
    </row>
    <row r="438" spans="2:37">
      <c r="B438" s="2"/>
      <c r="C438" s="2"/>
      <c r="D438" s="159"/>
      <c r="E438" s="2"/>
      <c r="F438" s="159"/>
      <c r="G438" s="2"/>
      <c r="H438" s="2"/>
      <c r="I438" s="159"/>
      <c r="J438" s="2"/>
      <c r="K438" s="2"/>
      <c r="L438" s="2"/>
      <c r="M438" s="2"/>
      <c r="N438" s="2"/>
      <c r="O438" s="2"/>
      <c r="P438" s="82" t="str">
        <f>D4</f>
        <v>2023-2024</v>
      </c>
      <c r="Q438" s="82" t="str">
        <f>F4</f>
        <v>2024-2025</v>
      </c>
      <c r="R438" s="82" t="str">
        <f>I4</f>
        <v>2025-2026</v>
      </c>
      <c r="S438" s="2"/>
      <c r="T438" s="2"/>
      <c r="U438" s="2"/>
      <c r="V438" s="2"/>
      <c r="W438" s="2"/>
      <c r="X438" s="2"/>
      <c r="Y438" s="2"/>
      <c r="Z438" s="2"/>
      <c r="AA438" s="2"/>
      <c r="AB438" s="2"/>
      <c r="AC438" s="2"/>
      <c r="AD438" s="2"/>
      <c r="AE438" s="2"/>
      <c r="AF438" s="2"/>
      <c r="AG438" s="2"/>
      <c r="AH438" s="2"/>
      <c r="AI438" s="2"/>
      <c r="AJ438" s="2"/>
      <c r="AK438" s="2"/>
    </row>
    <row r="439" spans="2:37">
      <c r="B439" s="2"/>
      <c r="C439" s="2"/>
      <c r="D439" s="159"/>
      <c r="E439" s="2"/>
      <c r="F439" s="159"/>
      <c r="G439" s="2"/>
      <c r="H439" s="2"/>
      <c r="I439" s="159"/>
      <c r="J439" s="2"/>
      <c r="K439" s="2"/>
      <c r="L439" s="2"/>
      <c r="M439" s="2"/>
      <c r="N439" s="2"/>
      <c r="O439" s="140" t="str">
        <f>$B381</f>
        <v>Student Support Expenditures (2100)</v>
      </c>
      <c r="P439" s="207">
        <f>IF(AND($D423&lt;=0,$F423&lt;=0,$J423&lt;=0),#N/A,IF($D423&lt;=0,0,$D423))</f>
        <v>2063</v>
      </c>
      <c r="Q439" s="207">
        <f>IF(AND($D423&lt;=0,$F423&lt;=0,$J423&lt;=0),#N/A,IF($F423&lt;=0,0,$F423))</f>
        <v>267</v>
      </c>
      <c r="R439" s="207">
        <f>IF(AND($D423&lt;=0,$F423&lt;=0,$J423&lt;=0),#N/A,IF($J423&lt;=0,0,$J423))</f>
        <v>0</v>
      </c>
      <c r="S439" s="2"/>
      <c r="T439" s="2"/>
      <c r="U439" s="2"/>
      <c r="V439" s="2"/>
      <c r="W439" s="2"/>
      <c r="X439" s="2"/>
      <c r="Y439" s="2"/>
      <c r="Z439" s="2"/>
      <c r="AA439" s="2"/>
      <c r="AB439" s="2"/>
      <c r="AC439" s="2"/>
      <c r="AD439" s="2"/>
      <c r="AE439" s="2"/>
      <c r="AF439" s="2"/>
      <c r="AG439" s="2"/>
      <c r="AH439" s="2"/>
      <c r="AI439" s="2"/>
      <c r="AJ439" s="2"/>
      <c r="AK439" s="2"/>
    </row>
    <row r="440" spans="2:37">
      <c r="B440" s="2"/>
      <c r="C440" s="2"/>
      <c r="D440" s="159"/>
      <c r="E440" s="2"/>
      <c r="F440" s="159"/>
      <c r="G440" s="2"/>
      <c r="H440" s="2"/>
      <c r="I440" s="159"/>
      <c r="J440" s="2"/>
      <c r="K440" s="2"/>
      <c r="L440" s="2"/>
      <c r="M440" s="2"/>
      <c r="N440" s="2"/>
      <c r="O440" s="2"/>
      <c r="P440" s="2"/>
      <c r="Q440" s="2"/>
      <c r="R440" s="2"/>
      <c r="S440" s="2"/>
      <c r="T440" s="2"/>
      <c r="U440" s="2"/>
      <c r="V440" s="2"/>
      <c r="W440" s="2"/>
      <c r="X440" s="2"/>
      <c r="Y440" s="2"/>
      <c r="Z440" s="2"/>
      <c r="AA440" s="2"/>
      <c r="AB440" s="2"/>
      <c r="AC440" s="2"/>
      <c r="AD440" s="2"/>
      <c r="AE440" s="2"/>
      <c r="AF440" s="2"/>
      <c r="AG440" s="2"/>
      <c r="AH440" s="2"/>
      <c r="AI440" s="2"/>
      <c r="AJ440" s="2"/>
      <c r="AK440" s="2"/>
    </row>
    <row r="441" spans="2:37">
      <c r="B441" s="2"/>
      <c r="C441" s="2"/>
      <c r="D441" s="159"/>
      <c r="E441" s="2"/>
      <c r="F441" s="159"/>
      <c r="G441" s="2"/>
      <c r="H441" s="2"/>
      <c r="I441" s="159"/>
      <c r="J441" s="2"/>
      <c r="K441" s="2"/>
      <c r="L441" s="2"/>
      <c r="M441" s="2"/>
      <c r="N441" s="2"/>
      <c r="O441" s="2"/>
      <c r="P441" s="2"/>
      <c r="Q441" s="2"/>
      <c r="R441" s="2"/>
      <c r="S441" s="2"/>
      <c r="T441" s="2"/>
      <c r="U441" s="2"/>
      <c r="V441" s="2"/>
      <c r="W441" s="2"/>
      <c r="X441" s="2"/>
      <c r="Y441" s="2"/>
      <c r="Z441" s="2"/>
      <c r="AA441" s="2"/>
      <c r="AB441" s="2"/>
      <c r="AC441" s="2"/>
      <c r="AD441" s="2"/>
      <c r="AE441" s="2"/>
      <c r="AF441" s="2"/>
      <c r="AG441" s="2"/>
      <c r="AH441" s="2"/>
      <c r="AI441" s="2"/>
      <c r="AJ441" s="2"/>
      <c r="AK441" s="2"/>
    </row>
    <row r="442" spans="2:37">
      <c r="B442" s="2"/>
      <c r="C442" s="2"/>
      <c r="D442" s="159"/>
      <c r="E442" s="2"/>
      <c r="F442" s="159"/>
      <c r="G442" s="2"/>
      <c r="H442" s="2"/>
      <c r="I442" s="159"/>
      <c r="J442" s="2"/>
      <c r="K442" s="2"/>
      <c r="L442" s="2"/>
      <c r="M442" s="2"/>
      <c r="N442" s="2"/>
      <c r="O442" s="2"/>
      <c r="P442" s="2"/>
      <c r="Q442" s="2"/>
      <c r="R442" s="2"/>
      <c r="S442" s="2"/>
      <c r="T442" s="2"/>
      <c r="U442" s="2"/>
      <c r="V442" s="2"/>
      <c r="W442" s="2"/>
      <c r="X442" s="2"/>
      <c r="Y442" s="2"/>
      <c r="Z442" s="2"/>
      <c r="AA442" s="2"/>
      <c r="AB442" s="2"/>
      <c r="AC442" s="2"/>
      <c r="AD442" s="2"/>
      <c r="AE442" s="2"/>
      <c r="AF442" s="2"/>
      <c r="AG442" s="2"/>
      <c r="AH442" s="2"/>
      <c r="AI442" s="2"/>
      <c r="AJ442" s="2"/>
      <c r="AK442" s="2"/>
    </row>
    <row r="443" spans="2:37">
      <c r="B443" s="2"/>
      <c r="C443" s="2"/>
      <c r="D443" s="159"/>
      <c r="E443" s="2"/>
      <c r="F443" s="159"/>
      <c r="G443" s="2"/>
      <c r="H443" s="2"/>
      <c r="I443" s="159"/>
      <c r="J443" s="2"/>
      <c r="K443" s="2"/>
      <c r="L443" s="2"/>
      <c r="M443" s="2"/>
      <c r="N443" s="2"/>
      <c r="O443" s="2"/>
      <c r="P443" s="2"/>
      <c r="Q443" s="2"/>
      <c r="R443" s="2"/>
      <c r="S443" s="2"/>
      <c r="T443" s="2"/>
      <c r="U443" s="2"/>
      <c r="V443" s="2"/>
      <c r="W443" s="2"/>
      <c r="X443" s="2"/>
      <c r="Y443" s="2"/>
      <c r="Z443" s="2"/>
      <c r="AA443" s="2"/>
      <c r="AB443" s="2"/>
      <c r="AC443" s="2"/>
      <c r="AD443" s="2"/>
      <c r="AE443" s="2"/>
      <c r="AF443" s="2"/>
      <c r="AG443" s="2"/>
      <c r="AH443" s="2"/>
      <c r="AI443" s="2"/>
      <c r="AJ443" s="2"/>
      <c r="AK443" s="2"/>
    </row>
    <row r="444" spans="2:37">
      <c r="B444" s="2"/>
      <c r="C444" s="2"/>
      <c r="D444" s="159"/>
      <c r="E444" s="2"/>
      <c r="F444" s="159"/>
      <c r="G444" s="2"/>
      <c r="H444" s="2"/>
      <c r="I444" s="159"/>
      <c r="J444" s="2"/>
      <c r="K444" s="2"/>
      <c r="L444" s="2"/>
      <c r="M444" s="2"/>
      <c r="N444" s="2"/>
      <c r="O444" s="2"/>
      <c r="P444" s="2"/>
      <c r="Q444" s="2"/>
      <c r="R444" s="2"/>
      <c r="S444" s="2"/>
      <c r="T444" s="2"/>
      <c r="U444" s="2"/>
      <c r="V444" s="2"/>
      <c r="W444" s="2"/>
      <c r="X444" s="2"/>
      <c r="Y444" s="2"/>
      <c r="Z444" s="2"/>
      <c r="AA444" s="2"/>
      <c r="AB444" s="2"/>
      <c r="AC444" s="2"/>
      <c r="AD444" s="2"/>
      <c r="AE444" s="2"/>
      <c r="AF444" s="2"/>
      <c r="AG444" s="2"/>
      <c r="AH444" s="2"/>
      <c r="AI444" s="2"/>
      <c r="AJ444" s="2"/>
      <c r="AK444" s="2"/>
    </row>
    <row r="445" spans="2:37" ht="18">
      <c r="B445" s="316" t="s">
        <v>73</v>
      </c>
      <c r="C445" s="143"/>
      <c r="D445" s="368"/>
      <c r="E445" s="143"/>
      <c r="F445" s="368"/>
      <c r="G445" s="143"/>
      <c r="H445" s="143"/>
      <c r="I445" s="368"/>
      <c r="J445" s="143"/>
      <c r="K445" s="143"/>
      <c r="L445" s="143"/>
      <c r="M445" s="2"/>
      <c r="N445" s="2"/>
      <c r="O445" s="2"/>
      <c r="P445" s="2"/>
      <c r="Q445" s="2"/>
      <c r="R445" s="2"/>
      <c r="S445" s="2"/>
      <c r="T445" s="2"/>
      <c r="U445" s="2"/>
      <c r="V445" s="2"/>
      <c r="W445" s="2"/>
      <c r="X445" s="2"/>
      <c r="Y445" s="2"/>
      <c r="Z445" s="2"/>
      <c r="AA445" s="2"/>
      <c r="AB445" s="2"/>
      <c r="AC445" s="2"/>
      <c r="AD445" s="2"/>
      <c r="AE445" s="2"/>
      <c r="AF445" s="2"/>
      <c r="AG445" s="2"/>
      <c r="AH445" s="2"/>
      <c r="AI445" s="2"/>
      <c r="AJ445" s="2"/>
      <c r="AK445" s="2"/>
    </row>
    <row r="446" spans="2:37">
      <c r="C446" s="2"/>
      <c r="D446" s="159"/>
      <c r="E446" s="2"/>
      <c r="F446" s="159"/>
      <c r="G446" s="2"/>
      <c r="H446" s="2"/>
      <c r="I446" s="159"/>
      <c r="J446" s="2"/>
      <c r="K446" s="2"/>
      <c r="L446" s="2"/>
      <c r="M446" s="2"/>
      <c r="N446" s="2"/>
      <c r="O446" s="2"/>
      <c r="P446" s="2"/>
      <c r="Q446" s="2"/>
      <c r="R446" s="2"/>
      <c r="S446" s="2"/>
      <c r="T446" s="2"/>
      <c r="U446" s="2"/>
      <c r="V446" s="2"/>
      <c r="W446" s="2"/>
      <c r="X446" s="2"/>
      <c r="Y446" s="2"/>
      <c r="Z446" s="2"/>
      <c r="AA446" s="2"/>
      <c r="AB446" s="2"/>
      <c r="AC446" s="2"/>
      <c r="AD446" s="2"/>
      <c r="AE446" s="2"/>
      <c r="AF446" s="2"/>
      <c r="AG446" s="2"/>
      <c r="AH446" s="2"/>
      <c r="AI446" s="2"/>
      <c r="AJ446" s="2"/>
      <c r="AK446" s="2"/>
    </row>
    <row r="447" spans="2:37">
      <c r="B447" s="2"/>
      <c r="C447" s="43"/>
      <c r="D447" s="369" t="str">
        <f>D4</f>
        <v>2023-2024</v>
      </c>
      <c r="E447" s="43"/>
      <c r="F447" s="740" t="str">
        <f>F4</f>
        <v>2024-2025</v>
      </c>
      <c r="G447" s="741"/>
      <c r="H447" s="319" t="s">
        <v>2</v>
      </c>
      <c r="J447" s="740" t="str">
        <f>I4</f>
        <v>2025-2026</v>
      </c>
      <c r="K447" s="741"/>
      <c r="L447" s="320" t="s">
        <v>2</v>
      </c>
      <c r="M447" s="2"/>
      <c r="N447" s="2"/>
      <c r="O447" s="2"/>
      <c r="P447" s="2"/>
      <c r="Q447" s="2"/>
      <c r="R447" s="2"/>
      <c r="S447" s="2"/>
      <c r="T447" s="2"/>
      <c r="U447" s="2"/>
      <c r="V447" s="2"/>
      <c r="W447" s="2"/>
      <c r="X447" s="2"/>
      <c r="Y447" s="2"/>
      <c r="Z447" s="2"/>
      <c r="AA447" s="2"/>
      <c r="AB447" s="2"/>
      <c r="AC447" s="2"/>
      <c r="AD447" s="2"/>
      <c r="AE447" s="2"/>
      <c r="AF447" s="2"/>
      <c r="AG447" s="2"/>
      <c r="AH447" s="2"/>
      <c r="AI447" s="2"/>
      <c r="AJ447" s="2"/>
      <c r="AK447" s="2"/>
    </row>
    <row r="448" spans="2:37">
      <c r="B448" s="2"/>
      <c r="C448" s="301" t="s">
        <v>4</v>
      </c>
      <c r="D448" s="323" t="s">
        <v>5</v>
      </c>
      <c r="E448" s="43"/>
      <c r="F448" s="736" t="s">
        <v>5</v>
      </c>
      <c r="G448" s="737"/>
      <c r="H448" s="322" t="s">
        <v>144</v>
      </c>
      <c r="J448" s="736" t="s">
        <v>6</v>
      </c>
      <c r="K448" s="737"/>
      <c r="L448" s="323" t="s">
        <v>144</v>
      </c>
      <c r="M448" s="2"/>
      <c r="N448" s="2"/>
      <c r="O448" s="2"/>
      <c r="P448" s="2"/>
      <c r="Q448" s="2"/>
      <c r="R448" s="2"/>
      <c r="S448" s="2"/>
      <c r="T448" s="2"/>
      <c r="U448" s="2"/>
      <c r="V448" s="2"/>
      <c r="W448" s="2"/>
      <c r="X448" s="2"/>
      <c r="Y448" s="2"/>
      <c r="Z448" s="2"/>
      <c r="AA448" s="2"/>
      <c r="AB448" s="2"/>
      <c r="AC448" s="2"/>
      <c r="AD448" s="2"/>
      <c r="AE448" s="2"/>
      <c r="AF448" s="2"/>
      <c r="AG448" s="2"/>
      <c r="AH448" s="2"/>
      <c r="AI448" s="2"/>
      <c r="AJ448" s="2"/>
      <c r="AK448" s="2"/>
    </row>
    <row r="449" spans="2:37">
      <c r="B449" s="324" t="s">
        <v>34</v>
      </c>
      <c r="C449" s="325"/>
      <c r="D449" s="326">
        <f>SUM([1]C06!$C$86:$C$100)</f>
        <v>0</v>
      </c>
      <c r="E449" s="375"/>
      <c r="F449" s="747">
        <f>SUM([1]C06!$D$86:$D$100)</f>
        <v>0</v>
      </c>
      <c r="G449" s="732"/>
      <c r="H449" s="328">
        <f t="shared" ref="H449:H487" si="69">IF(D449=0,0,((F449-D449)/D449))</f>
        <v>0</v>
      </c>
      <c r="J449" s="747">
        <f>SUM([1]C06!$E$86:$E$100)</f>
        <v>0</v>
      </c>
      <c r="K449" s="732"/>
      <c r="L449" s="328">
        <f t="shared" ref="L449:L470" si="70">IF(F449=0,0,((J449-F449)/F449))</f>
        <v>0</v>
      </c>
      <c r="M449" s="2"/>
      <c r="N449" s="2"/>
      <c r="O449" s="2"/>
      <c r="P449" s="2"/>
      <c r="Q449" s="2"/>
      <c r="R449" s="2"/>
      <c r="S449" s="2"/>
      <c r="T449" s="2"/>
      <c r="U449" s="2"/>
      <c r="V449" s="2"/>
      <c r="W449" s="2"/>
      <c r="X449" s="2"/>
      <c r="Y449" s="2"/>
      <c r="Z449" s="2"/>
      <c r="AA449" s="2"/>
      <c r="AB449" s="2"/>
      <c r="AC449" s="2"/>
      <c r="AD449" s="2"/>
      <c r="AE449" s="2"/>
      <c r="AF449" s="2"/>
      <c r="AG449" s="2"/>
      <c r="AH449" s="2"/>
      <c r="AI449" s="2"/>
      <c r="AJ449" s="2"/>
      <c r="AK449" s="2"/>
    </row>
    <row r="450" spans="2:37">
      <c r="B450" s="44" t="s">
        <v>36</v>
      </c>
      <c r="C450" s="44"/>
      <c r="D450" s="329">
        <f>SUM([1]C07!$C$80:$C$94)</f>
        <v>0</v>
      </c>
      <c r="E450" s="375"/>
      <c r="F450" s="671">
        <f>SUM([1]C07!$D$80:$D$94)</f>
        <v>0</v>
      </c>
      <c r="G450" s="653"/>
      <c r="H450" s="330">
        <f t="shared" si="69"/>
        <v>0</v>
      </c>
      <c r="J450" s="671">
        <f>SUM([1]C07!$E$80:$E$94)</f>
        <v>0</v>
      </c>
      <c r="K450" s="653"/>
      <c r="L450" s="330">
        <f t="shared" si="70"/>
        <v>0</v>
      </c>
      <c r="M450" s="2"/>
      <c r="N450" s="2"/>
      <c r="O450" s="2"/>
      <c r="P450" s="2"/>
      <c r="Q450" s="2"/>
      <c r="R450" s="2"/>
      <c r="S450" s="2"/>
      <c r="T450" s="2"/>
      <c r="U450" s="2"/>
      <c r="V450" s="2"/>
      <c r="W450" s="2"/>
      <c r="X450" s="2"/>
      <c r="Y450" s="2"/>
      <c r="Z450" s="2"/>
      <c r="AA450" s="2"/>
      <c r="AB450" s="2"/>
      <c r="AC450" s="2"/>
      <c r="AD450" s="2"/>
      <c r="AE450" s="2"/>
      <c r="AF450" s="2"/>
      <c r="AG450" s="2"/>
      <c r="AH450" s="2"/>
      <c r="AI450" s="2"/>
      <c r="AJ450" s="2"/>
      <c r="AK450" s="2"/>
    </row>
    <row r="451" spans="2:37">
      <c r="B451" s="324" t="s">
        <v>35</v>
      </c>
      <c r="C451" s="324"/>
      <c r="D451" s="331">
        <f>SUM([1]C08!$C$91:$C$105)</f>
        <v>0</v>
      </c>
      <c r="E451" s="375"/>
      <c r="F451" s="656">
        <f>SUM([1]C08!$D$91:$D$105)</f>
        <v>195</v>
      </c>
      <c r="G451" s="655"/>
      <c r="H451" s="332">
        <f t="shared" si="69"/>
        <v>0</v>
      </c>
      <c r="J451" s="656">
        <f>SUM([1]C08!$E$91:$E$105)</f>
        <v>100</v>
      </c>
      <c r="K451" s="655"/>
      <c r="L451" s="332">
        <f t="shared" si="70"/>
        <v>-0.49</v>
      </c>
      <c r="M451" s="2"/>
      <c r="N451" s="2"/>
      <c r="O451" s="2"/>
      <c r="P451" s="2"/>
      <c r="Q451" s="2"/>
      <c r="R451" s="2"/>
      <c r="S451" s="2"/>
      <c r="T451" s="2"/>
      <c r="U451" s="2"/>
      <c r="V451" s="2"/>
      <c r="W451" s="2"/>
      <c r="X451" s="2"/>
      <c r="Y451" s="2"/>
      <c r="Z451" s="2"/>
      <c r="AA451" s="2"/>
      <c r="AB451" s="2"/>
      <c r="AC451" s="2"/>
      <c r="AD451" s="2"/>
      <c r="AE451" s="2"/>
      <c r="AF451" s="2"/>
      <c r="AG451" s="2"/>
      <c r="AH451" s="2"/>
      <c r="AI451" s="2"/>
      <c r="AJ451" s="2"/>
      <c r="AK451" s="2"/>
    </row>
    <row r="452" spans="2:37" ht="16.5" customHeight="1">
      <c r="B452" s="1" t="s">
        <v>140</v>
      </c>
      <c r="C452" s="333"/>
      <c r="D452" s="334">
        <f>SUM([1]C011!$C$81:$C$95)</f>
        <v>0</v>
      </c>
      <c r="E452" s="375"/>
      <c r="F452" s="671">
        <f>SUM([1]C011!$D$81:$D$95)</f>
        <v>0</v>
      </c>
      <c r="G452" s="653"/>
      <c r="H452" s="330">
        <f t="shared" si="69"/>
        <v>0</v>
      </c>
      <c r="J452" s="672">
        <f>SUM([1]C011!$E$81:$E$95)</f>
        <v>0</v>
      </c>
      <c r="K452" s="673"/>
      <c r="L452" s="330">
        <f t="shared" si="70"/>
        <v>0</v>
      </c>
      <c r="M452" s="2"/>
      <c r="N452" s="2"/>
      <c r="O452" s="2"/>
      <c r="P452" s="2"/>
      <c r="Q452" s="2"/>
      <c r="R452" s="2"/>
      <c r="S452" s="2"/>
      <c r="T452" s="2"/>
      <c r="U452" s="2"/>
      <c r="V452" s="2"/>
      <c r="W452" s="2"/>
      <c r="X452" s="2"/>
      <c r="Y452" s="2"/>
      <c r="Z452" s="2"/>
      <c r="AA452" s="2"/>
      <c r="AB452" s="2"/>
      <c r="AC452" s="2"/>
      <c r="AD452" s="2"/>
      <c r="AE452" s="2"/>
      <c r="AF452" s="2"/>
      <c r="AG452" s="2"/>
      <c r="AH452" s="2"/>
      <c r="AI452" s="2"/>
      <c r="AJ452" s="2"/>
      <c r="AK452" s="2"/>
    </row>
    <row r="453" spans="2:37">
      <c r="B453" s="324" t="s">
        <v>277</v>
      </c>
      <c r="C453" s="335"/>
      <c r="D453" s="331">
        <f>SUM([1]C013!$C$81:$C$95)</f>
        <v>0</v>
      </c>
      <c r="E453" s="375"/>
      <c r="F453" s="656">
        <f>SUM([1]C013!$D$81:$D$95)</f>
        <v>0</v>
      </c>
      <c r="G453" s="655"/>
      <c r="H453" s="332">
        <f t="shared" si="69"/>
        <v>0</v>
      </c>
      <c r="J453" s="674">
        <f>SUM([1]C013!$E$81:$E$95)</f>
        <v>0</v>
      </c>
      <c r="K453" s="675"/>
      <c r="L453" s="332">
        <f t="shared" si="70"/>
        <v>0</v>
      </c>
      <c r="M453" s="2"/>
      <c r="N453" s="2"/>
      <c r="O453" s="2"/>
      <c r="P453" s="2"/>
      <c r="Q453" s="2"/>
      <c r="R453" s="2"/>
      <c r="S453" s="2"/>
      <c r="T453" s="2"/>
      <c r="U453" s="2"/>
      <c r="V453" s="2"/>
      <c r="W453" s="2"/>
      <c r="X453" s="2"/>
      <c r="Y453" s="2"/>
      <c r="Z453" s="2"/>
      <c r="AA453" s="2"/>
      <c r="AB453" s="2"/>
      <c r="AC453" s="2"/>
      <c r="AD453" s="2"/>
      <c r="AE453" s="2"/>
      <c r="AF453" s="2"/>
      <c r="AG453" s="2"/>
      <c r="AH453" s="2"/>
      <c r="AI453" s="2"/>
      <c r="AJ453" s="2"/>
      <c r="AK453" s="2"/>
    </row>
    <row r="454" spans="2:37">
      <c r="B454" s="1" t="s">
        <v>39</v>
      </c>
      <c r="C454" s="1"/>
      <c r="D454" s="334">
        <f>SUM([1]C014!$C$77:$C$91)</f>
        <v>0</v>
      </c>
      <c r="E454" s="375"/>
      <c r="F454" s="671">
        <f>SUM([1]C014!$D$77:$D$91)</f>
        <v>0</v>
      </c>
      <c r="G454" s="653"/>
      <c r="H454" s="330">
        <f t="shared" si="69"/>
        <v>0</v>
      </c>
      <c r="J454" s="671">
        <f>SUM([1]C014!$E$77:$E$91)</f>
        <v>0</v>
      </c>
      <c r="K454" s="653"/>
      <c r="L454" s="330">
        <f t="shared" si="70"/>
        <v>0</v>
      </c>
      <c r="M454" s="2"/>
      <c r="N454" s="2"/>
      <c r="O454" s="2"/>
      <c r="P454" s="2"/>
      <c r="Q454" s="2"/>
      <c r="R454" s="2"/>
      <c r="S454" s="2"/>
      <c r="T454" s="2"/>
      <c r="U454" s="2"/>
      <c r="V454" s="2"/>
      <c r="W454" s="2"/>
      <c r="X454" s="2"/>
      <c r="Y454" s="2"/>
      <c r="Z454" s="2"/>
      <c r="AA454" s="2"/>
      <c r="AB454" s="2"/>
      <c r="AC454" s="2"/>
      <c r="AD454" s="2"/>
      <c r="AE454" s="2"/>
      <c r="AF454" s="2"/>
      <c r="AG454" s="2"/>
      <c r="AH454" s="2"/>
      <c r="AI454" s="2"/>
      <c r="AJ454" s="2"/>
      <c r="AK454" s="2"/>
    </row>
    <row r="455" spans="2:37">
      <c r="B455" s="324" t="s">
        <v>40</v>
      </c>
      <c r="C455" s="324"/>
      <c r="D455" s="331">
        <f>SUM([1]C015!$C$77:$C$91)</f>
        <v>0</v>
      </c>
      <c r="E455" s="375"/>
      <c r="F455" s="656">
        <f>SUM([1]C015!$D$77:$D$91)</f>
        <v>0</v>
      </c>
      <c r="G455" s="655"/>
      <c r="H455" s="332">
        <f t="shared" si="69"/>
        <v>0</v>
      </c>
      <c r="J455" s="656">
        <f>SUM([1]C015!$E$77:$E$91)</f>
        <v>0</v>
      </c>
      <c r="K455" s="655"/>
      <c r="L455" s="332">
        <f t="shared" si="70"/>
        <v>0</v>
      </c>
      <c r="M455" s="2"/>
      <c r="N455" s="2"/>
      <c r="O455" s="2"/>
      <c r="P455" s="2"/>
      <c r="Q455" s="2"/>
      <c r="R455" s="2"/>
      <c r="S455" s="2"/>
      <c r="T455" s="2"/>
      <c r="U455" s="2"/>
      <c r="V455" s="2"/>
      <c r="W455" s="2"/>
      <c r="X455" s="2"/>
      <c r="Y455" s="2"/>
      <c r="Z455" s="2"/>
      <c r="AA455" s="2"/>
      <c r="AB455" s="2"/>
      <c r="AC455" s="2"/>
      <c r="AD455" s="2"/>
      <c r="AE455" s="2"/>
      <c r="AF455" s="2"/>
      <c r="AG455" s="2"/>
      <c r="AH455" s="2"/>
      <c r="AI455" s="2"/>
      <c r="AJ455" s="2"/>
      <c r="AK455" s="2"/>
    </row>
    <row r="456" spans="2:37">
      <c r="B456" s="1" t="s">
        <v>41</v>
      </c>
      <c r="C456" s="1"/>
      <c r="D456" s="334">
        <f>SUM([1]C016!$C$68:$C$69)</f>
        <v>0</v>
      </c>
      <c r="E456" s="375"/>
      <c r="F456" s="671">
        <f>SUM([1]C016!$D$68:$D$69)</f>
        <v>0</v>
      </c>
      <c r="G456" s="653"/>
      <c r="H456" s="330">
        <f t="shared" si="69"/>
        <v>0</v>
      </c>
      <c r="J456" s="671">
        <f>SUM([1]C016!$E$68:$E$69)</f>
        <v>0</v>
      </c>
      <c r="K456" s="653"/>
      <c r="L456" s="330">
        <f t="shared" si="70"/>
        <v>0</v>
      </c>
      <c r="M456" s="2"/>
      <c r="N456" s="2"/>
      <c r="O456" s="2"/>
      <c r="P456" s="2"/>
      <c r="Q456" s="2"/>
      <c r="R456" s="2"/>
      <c r="S456" s="2"/>
      <c r="T456" s="2"/>
      <c r="U456" s="2"/>
      <c r="V456" s="2"/>
      <c r="W456" s="2"/>
      <c r="X456" s="2"/>
      <c r="Y456" s="2"/>
      <c r="Z456" s="2"/>
      <c r="AA456" s="2"/>
      <c r="AB456" s="2"/>
      <c r="AC456" s="2"/>
      <c r="AD456" s="2"/>
      <c r="AE456" s="2"/>
      <c r="AF456" s="2"/>
      <c r="AG456" s="2"/>
      <c r="AH456" s="2"/>
      <c r="AI456" s="2"/>
      <c r="AJ456" s="2"/>
      <c r="AK456" s="2"/>
    </row>
    <row r="457" spans="2:37">
      <c r="B457" s="324" t="s">
        <v>70</v>
      </c>
      <c r="C457" s="324"/>
      <c r="D457" s="331">
        <f>SUM([1]C018!$C$77:$C$91)</f>
        <v>0</v>
      </c>
      <c r="E457" s="375"/>
      <c r="F457" s="656">
        <f>SUM([1]C018!$D$77:$D$91)</f>
        <v>0</v>
      </c>
      <c r="G457" s="655"/>
      <c r="H457" s="332">
        <f t="shared" si="69"/>
        <v>0</v>
      </c>
      <c r="J457" s="656">
        <f>SUM([1]C018!$E$77:$E$91)</f>
        <v>0</v>
      </c>
      <c r="K457" s="655"/>
      <c r="L457" s="332">
        <f t="shared" si="70"/>
        <v>0</v>
      </c>
      <c r="M457" s="2"/>
      <c r="N457" s="2"/>
      <c r="O457" s="2"/>
      <c r="P457" s="2"/>
      <c r="Q457" s="2"/>
      <c r="R457" s="2"/>
      <c r="S457" s="2"/>
      <c r="T457" s="2"/>
      <c r="U457" s="2"/>
      <c r="V457" s="2"/>
      <c r="W457" s="2"/>
      <c r="X457" s="2"/>
      <c r="Y457" s="2"/>
      <c r="Z457" s="2"/>
      <c r="AA457" s="2"/>
      <c r="AB457" s="2"/>
      <c r="AC457" s="2"/>
      <c r="AD457" s="2"/>
      <c r="AE457" s="2"/>
      <c r="AF457" s="2"/>
      <c r="AG457" s="2"/>
      <c r="AH457" s="2"/>
      <c r="AI457" s="2"/>
      <c r="AJ457" s="2"/>
      <c r="AK457" s="2"/>
    </row>
    <row r="458" spans="2:37">
      <c r="B458" s="1" t="s">
        <v>43</v>
      </c>
      <c r="C458" s="1"/>
      <c r="D458" s="336">
        <v>0</v>
      </c>
      <c r="E458" s="375"/>
      <c r="F458" s="652">
        <v>0</v>
      </c>
      <c r="G458" s="653"/>
      <c r="H458" s="330">
        <f t="shared" si="69"/>
        <v>0</v>
      </c>
      <c r="J458" s="652">
        <v>0</v>
      </c>
      <c r="K458" s="653"/>
      <c r="L458" s="330">
        <f t="shared" si="70"/>
        <v>0</v>
      </c>
      <c r="M458" s="2"/>
      <c r="N458" s="2"/>
      <c r="O458" s="2"/>
      <c r="P458" s="2"/>
      <c r="Q458" s="2"/>
      <c r="R458" s="2"/>
      <c r="S458" s="2"/>
      <c r="T458" s="2"/>
      <c r="U458" s="2"/>
      <c r="V458" s="2"/>
      <c r="W458" s="2"/>
      <c r="X458" s="2"/>
      <c r="Y458" s="2"/>
      <c r="Z458" s="2"/>
      <c r="AA458" s="2"/>
      <c r="AB458" s="2"/>
      <c r="AC458" s="2"/>
      <c r="AD458" s="2"/>
      <c r="AE458" s="2"/>
      <c r="AF458" s="2"/>
      <c r="AG458" s="2"/>
      <c r="AH458" s="2"/>
      <c r="AI458" s="2"/>
      <c r="AJ458" s="2"/>
      <c r="AK458" s="2"/>
    </row>
    <row r="459" spans="2:37">
      <c r="B459" s="324" t="s">
        <v>44</v>
      </c>
      <c r="C459" s="324"/>
      <c r="D459" s="331">
        <f>SUM([1]C022!$C$77:$C$91)</f>
        <v>0</v>
      </c>
      <c r="E459" s="375"/>
      <c r="F459" s="656">
        <f>SUM([1]C022!$D$77:$D$91)</f>
        <v>0</v>
      </c>
      <c r="G459" s="655"/>
      <c r="H459" s="332">
        <f t="shared" si="69"/>
        <v>0</v>
      </c>
      <c r="J459" s="656">
        <f>SUM([1]C022!$E$77:$E$91)</f>
        <v>0</v>
      </c>
      <c r="K459" s="655"/>
      <c r="L459" s="332">
        <f t="shared" si="70"/>
        <v>0</v>
      </c>
      <c r="M459" s="2"/>
      <c r="N459" s="2"/>
      <c r="O459" s="2"/>
      <c r="P459" s="2"/>
      <c r="Q459" s="2"/>
      <c r="R459" s="2"/>
      <c r="S459" s="2"/>
      <c r="T459" s="2"/>
      <c r="U459" s="2"/>
      <c r="V459" s="2"/>
      <c r="W459" s="2"/>
      <c r="X459" s="2"/>
      <c r="Y459" s="2"/>
      <c r="Z459" s="2"/>
      <c r="AA459" s="2"/>
      <c r="AB459" s="2"/>
      <c r="AC459" s="2"/>
      <c r="AD459" s="2"/>
      <c r="AE459" s="2"/>
      <c r="AF459" s="2"/>
      <c r="AG459" s="2"/>
      <c r="AH459" s="2"/>
      <c r="AI459" s="2"/>
      <c r="AJ459" s="2"/>
      <c r="AK459" s="2"/>
    </row>
    <row r="460" spans="2:37">
      <c r="B460" s="1" t="s">
        <v>45</v>
      </c>
      <c r="C460" s="337">
        <v>24</v>
      </c>
      <c r="D460" s="336">
        <v>0</v>
      </c>
      <c r="E460" s="375"/>
      <c r="F460" s="652">
        <v>0</v>
      </c>
      <c r="G460" s="653"/>
      <c r="H460" s="330">
        <f t="shared" si="69"/>
        <v>0</v>
      </c>
      <c r="J460" s="652">
        <v>0</v>
      </c>
      <c r="K460" s="653"/>
      <c r="L460" s="330">
        <f t="shared" si="70"/>
        <v>0</v>
      </c>
      <c r="M460" s="2"/>
      <c r="N460" s="2"/>
      <c r="O460" s="2"/>
      <c r="P460" s="2"/>
      <c r="Q460" s="2"/>
      <c r="R460" s="2"/>
      <c r="S460" s="2"/>
      <c r="T460" s="2"/>
      <c r="U460" s="2"/>
      <c r="V460" s="2"/>
      <c r="W460" s="2"/>
      <c r="X460" s="2"/>
      <c r="Y460" s="2"/>
      <c r="Z460" s="2"/>
      <c r="AA460" s="2"/>
      <c r="AB460" s="2"/>
      <c r="AC460" s="2"/>
      <c r="AD460" s="2"/>
      <c r="AE460" s="2"/>
      <c r="AF460" s="2"/>
      <c r="AG460" s="2"/>
      <c r="AH460" s="2"/>
      <c r="AI460" s="2"/>
      <c r="AJ460" s="2"/>
      <c r="AK460" s="2"/>
    </row>
    <row r="461" spans="2:37">
      <c r="B461" s="324" t="s">
        <v>46</v>
      </c>
      <c r="C461" s="338"/>
      <c r="D461" s="331">
        <f>SUM([1]C026!$C$39:$C$53)</f>
        <v>1258</v>
      </c>
      <c r="E461" s="375"/>
      <c r="F461" s="656">
        <f>SUM([1]C026!$D$39:$D$53)</f>
        <v>45</v>
      </c>
      <c r="G461" s="655"/>
      <c r="H461" s="332">
        <f t="shared" si="69"/>
        <v>-0.96</v>
      </c>
      <c r="J461" s="656">
        <f>SUM([1]C026!$E$39:$E$53)</f>
        <v>0</v>
      </c>
      <c r="K461" s="655"/>
      <c r="L461" s="332">
        <f t="shared" si="70"/>
        <v>-1</v>
      </c>
      <c r="M461" s="2"/>
      <c r="N461" s="2"/>
      <c r="O461" s="2"/>
      <c r="P461" s="2"/>
      <c r="Q461" s="2"/>
      <c r="R461" s="2"/>
      <c r="S461" s="2"/>
      <c r="T461" s="2"/>
      <c r="U461" s="2"/>
      <c r="V461" s="2"/>
      <c r="W461" s="2"/>
      <c r="X461" s="2"/>
      <c r="Y461" s="2"/>
      <c r="Z461" s="2"/>
      <c r="AA461" s="2"/>
      <c r="AB461" s="2"/>
      <c r="AC461" s="2"/>
      <c r="AD461" s="2"/>
      <c r="AE461" s="2"/>
      <c r="AF461" s="2"/>
      <c r="AG461" s="2"/>
      <c r="AH461" s="2"/>
      <c r="AI461" s="2"/>
      <c r="AJ461" s="2"/>
      <c r="AK461" s="2"/>
    </row>
    <row r="462" spans="2:37">
      <c r="B462" s="1" t="s">
        <v>47</v>
      </c>
      <c r="C462" s="337"/>
      <c r="D462" s="334">
        <f>SUM([1]C028!$C$62:$C$73)</f>
        <v>0</v>
      </c>
      <c r="E462" s="375"/>
      <c r="F462" s="671">
        <f>SUM([1]C028!$D$62:$D$73)</f>
        <v>0</v>
      </c>
      <c r="G462" s="653"/>
      <c r="H462" s="330">
        <f t="shared" si="69"/>
        <v>0</v>
      </c>
      <c r="J462" s="671">
        <f>SUM([1]C028!$E$62:$E$73)</f>
        <v>0</v>
      </c>
      <c r="K462" s="653"/>
      <c r="L462" s="330">
        <f t="shared" si="70"/>
        <v>0</v>
      </c>
      <c r="M462" s="2"/>
      <c r="N462" s="2"/>
      <c r="O462" s="2"/>
      <c r="P462" s="2"/>
      <c r="Q462" s="2"/>
      <c r="R462" s="2"/>
      <c r="S462" s="2"/>
      <c r="T462" s="2"/>
      <c r="U462" s="2"/>
      <c r="V462" s="2"/>
      <c r="W462" s="2"/>
      <c r="X462" s="2"/>
      <c r="Y462" s="2"/>
      <c r="Z462" s="2"/>
      <c r="AA462" s="2"/>
      <c r="AB462" s="2"/>
      <c r="AC462" s="2"/>
      <c r="AD462" s="2"/>
      <c r="AE462" s="2"/>
      <c r="AF462" s="2"/>
      <c r="AG462" s="2"/>
      <c r="AH462" s="2"/>
      <c r="AI462" s="2"/>
      <c r="AJ462" s="2"/>
      <c r="AK462" s="2"/>
    </row>
    <row r="463" spans="2:37">
      <c r="B463" s="324" t="s">
        <v>48</v>
      </c>
      <c r="C463" s="338"/>
      <c r="D463" s="331">
        <f>SUM([1]C029!$C$81:$C$95)</f>
        <v>0</v>
      </c>
      <c r="E463" s="375"/>
      <c r="F463" s="656">
        <f>SUM([1]C029!$D$81:$D$95)</f>
        <v>0</v>
      </c>
      <c r="G463" s="655"/>
      <c r="H463" s="332">
        <f t="shared" si="69"/>
        <v>0</v>
      </c>
      <c r="J463" s="656">
        <f>SUM([1]C029!$E$81:$E$95)</f>
        <v>0</v>
      </c>
      <c r="K463" s="655"/>
      <c r="L463" s="332">
        <f t="shared" si="70"/>
        <v>0</v>
      </c>
      <c r="M463" s="2"/>
      <c r="N463" s="2"/>
      <c r="O463" s="2"/>
      <c r="P463" s="2"/>
      <c r="Q463" s="2"/>
      <c r="R463" s="2"/>
      <c r="S463" s="2"/>
      <c r="T463" s="2"/>
      <c r="U463" s="2"/>
      <c r="V463" s="2"/>
      <c r="W463" s="2"/>
      <c r="X463" s="2"/>
      <c r="Y463" s="2"/>
      <c r="Z463" s="2"/>
      <c r="AA463" s="2"/>
      <c r="AB463" s="2"/>
      <c r="AC463" s="2"/>
      <c r="AD463" s="2"/>
      <c r="AE463" s="2"/>
      <c r="AF463" s="2"/>
      <c r="AG463" s="2"/>
      <c r="AH463" s="2"/>
      <c r="AI463" s="2"/>
      <c r="AJ463" s="2"/>
      <c r="AK463" s="2"/>
    </row>
    <row r="464" spans="2:37">
      <c r="B464" s="1" t="s">
        <v>37</v>
      </c>
      <c r="C464" s="337"/>
      <c r="D464" s="334">
        <f>SUM([1]C030!$C$86:$C$100)</f>
        <v>0</v>
      </c>
      <c r="E464" s="375"/>
      <c r="F464" s="671">
        <f>SUM([1]C030!$D$86:$D$100)</f>
        <v>0</v>
      </c>
      <c r="G464" s="653"/>
      <c r="H464" s="330">
        <f t="shared" si="69"/>
        <v>0</v>
      </c>
      <c r="J464" s="671">
        <f>SUM([1]C030!$E$86:$E$100)</f>
        <v>0</v>
      </c>
      <c r="K464" s="653"/>
      <c r="L464" s="330">
        <f t="shared" si="70"/>
        <v>0</v>
      </c>
      <c r="M464" s="2"/>
      <c r="N464" s="2"/>
      <c r="O464" s="2"/>
      <c r="P464" s="2"/>
      <c r="Q464" s="2"/>
      <c r="R464" s="2"/>
      <c r="S464" s="2"/>
      <c r="T464" s="2"/>
      <c r="U464" s="2"/>
      <c r="V464" s="2"/>
      <c r="W464" s="2"/>
      <c r="X464" s="2"/>
      <c r="Y464" s="2"/>
      <c r="Z464" s="2"/>
      <c r="AA464" s="2"/>
      <c r="AB464" s="2"/>
      <c r="AC464" s="2"/>
      <c r="AD464" s="2"/>
      <c r="AE464" s="2"/>
      <c r="AF464" s="2"/>
      <c r="AG464" s="2"/>
      <c r="AH464" s="2"/>
      <c r="AI464" s="2"/>
      <c r="AJ464" s="2"/>
      <c r="AK464" s="2"/>
    </row>
    <row r="465" spans="2:37">
      <c r="B465" s="324" t="s">
        <v>49</v>
      </c>
      <c r="C465" s="338"/>
      <c r="D465" s="339">
        <v>0</v>
      </c>
      <c r="E465" s="375"/>
      <c r="F465" s="654">
        <v>0</v>
      </c>
      <c r="G465" s="655"/>
      <c r="H465" s="332">
        <f t="shared" si="69"/>
        <v>0</v>
      </c>
      <c r="J465" s="654">
        <v>0</v>
      </c>
      <c r="K465" s="655"/>
      <c r="L465" s="332">
        <f t="shared" si="70"/>
        <v>0</v>
      </c>
      <c r="M465" s="2"/>
      <c r="N465" s="2"/>
      <c r="O465" s="2"/>
      <c r="P465" s="2"/>
      <c r="Q465" s="2"/>
      <c r="R465" s="2"/>
      <c r="S465" s="2"/>
      <c r="T465" s="2"/>
      <c r="U465" s="2"/>
      <c r="V465" s="2"/>
      <c r="W465" s="2"/>
      <c r="X465" s="2"/>
      <c r="Y465" s="2"/>
      <c r="Z465" s="2"/>
      <c r="AA465" s="2"/>
      <c r="AB465" s="2"/>
      <c r="AC465" s="2"/>
      <c r="AD465" s="2"/>
      <c r="AE465" s="2"/>
      <c r="AF465" s="2"/>
      <c r="AG465" s="2"/>
      <c r="AH465" s="2"/>
      <c r="AI465" s="2"/>
      <c r="AJ465" s="2"/>
      <c r="AK465" s="2"/>
    </row>
    <row r="466" spans="2:37">
      <c r="B466" s="370" t="str">
        <f>B338</f>
        <v>Career and Postsecondary Ed.</v>
      </c>
      <c r="C466" s="337"/>
      <c r="D466" s="334">
        <f>SUM([1]C034!$C$88:$C$102)</f>
        <v>0</v>
      </c>
      <c r="E466" s="375"/>
      <c r="F466" s="671">
        <f>SUM([1]C034!$D$88:$D$102)</f>
        <v>0</v>
      </c>
      <c r="G466" s="653"/>
      <c r="H466" s="330">
        <f t="shared" si="69"/>
        <v>0</v>
      </c>
      <c r="J466" s="671">
        <f>SUM([1]C034!$E$88:$E$102)</f>
        <v>0</v>
      </c>
      <c r="K466" s="653"/>
      <c r="L466" s="330">
        <f t="shared" si="70"/>
        <v>0</v>
      </c>
      <c r="M466" s="2"/>
      <c r="N466" s="2"/>
      <c r="O466" s="2"/>
      <c r="P466" s="2"/>
      <c r="Q466" s="2"/>
      <c r="R466" s="2"/>
      <c r="S466" s="2"/>
      <c r="T466" s="2"/>
      <c r="U466" s="2"/>
      <c r="V466" s="2"/>
      <c r="W466" s="2"/>
      <c r="X466" s="2"/>
      <c r="Y466" s="2"/>
      <c r="Z466" s="2"/>
      <c r="AA466" s="2"/>
      <c r="AB466" s="2"/>
      <c r="AC466" s="2"/>
      <c r="AD466" s="2"/>
      <c r="AE466" s="2"/>
      <c r="AF466" s="2"/>
      <c r="AG466" s="2"/>
      <c r="AH466" s="2"/>
      <c r="AI466" s="2"/>
      <c r="AJ466" s="2"/>
      <c r="AK466" s="2"/>
    </row>
    <row r="467" spans="2:37" ht="15.75">
      <c r="B467" s="324" t="s">
        <v>178</v>
      </c>
      <c r="C467" s="338">
        <v>35</v>
      </c>
      <c r="D467" s="331">
        <f>SUM([1]C035!$C$91:$C$105)</f>
        <v>0</v>
      </c>
      <c r="E467" s="375"/>
      <c r="F467" s="656">
        <f>SUM([1]C035!$D$91:$D$105)</f>
        <v>0</v>
      </c>
      <c r="G467" s="655"/>
      <c r="H467" s="332">
        <f t="shared" si="69"/>
        <v>0</v>
      </c>
      <c r="J467" s="656">
        <f>SUM([1]C035!$E$91:$E$105)</f>
        <v>0</v>
      </c>
      <c r="K467" s="655"/>
      <c r="L467" s="332">
        <f t="shared" si="70"/>
        <v>0</v>
      </c>
      <c r="M467" s="2"/>
      <c r="N467" s="2"/>
      <c r="O467" s="2"/>
      <c r="P467" s="2"/>
      <c r="Q467" s="2"/>
      <c r="R467" s="2"/>
      <c r="S467" s="2"/>
      <c r="T467" s="2"/>
      <c r="U467" s="2"/>
      <c r="V467" s="2"/>
      <c r="W467" s="2"/>
      <c r="X467" s="2"/>
      <c r="Y467" s="2"/>
      <c r="Z467" s="2"/>
      <c r="AA467" s="2"/>
      <c r="AB467" s="2"/>
      <c r="AC467" s="2"/>
      <c r="AD467" s="2"/>
      <c r="AE467" s="2"/>
      <c r="AF467" s="2"/>
      <c r="AG467" s="2"/>
      <c r="AH467" s="2"/>
      <c r="AI467" s="2"/>
      <c r="AJ467" s="2"/>
      <c r="AK467" s="2"/>
    </row>
    <row r="468" spans="2:37">
      <c r="B468" s="1" t="s">
        <v>71</v>
      </c>
      <c r="C468" s="337">
        <v>42</v>
      </c>
      <c r="D468" s="336">
        <v>0</v>
      </c>
      <c r="E468" s="375"/>
      <c r="F468" s="652">
        <v>0</v>
      </c>
      <c r="G468" s="653"/>
      <c r="H468" s="330">
        <f t="shared" si="69"/>
        <v>0</v>
      </c>
      <c r="J468" s="652">
        <v>0</v>
      </c>
      <c r="K468" s="653"/>
      <c r="L468" s="330">
        <f t="shared" si="70"/>
        <v>0</v>
      </c>
      <c r="M468" s="2"/>
      <c r="N468" s="2"/>
      <c r="O468" s="2"/>
      <c r="P468" s="2"/>
      <c r="Q468" s="2"/>
      <c r="R468" s="2"/>
      <c r="S468" s="2"/>
      <c r="T468" s="2"/>
      <c r="U468" s="2"/>
      <c r="V468" s="2"/>
      <c r="W468" s="2"/>
      <c r="X468" s="2"/>
      <c r="Y468" s="2"/>
      <c r="Z468" s="2"/>
      <c r="AA468" s="2"/>
      <c r="AB468" s="2"/>
      <c r="AC468" s="2"/>
      <c r="AD468" s="2"/>
      <c r="AE468" s="2"/>
      <c r="AF468" s="2"/>
      <c r="AG468" s="2"/>
      <c r="AH468" s="2"/>
      <c r="AI468" s="2"/>
      <c r="AJ468" s="2"/>
      <c r="AK468" s="2"/>
    </row>
    <row r="469" spans="2:37">
      <c r="B469" s="324" t="s">
        <v>51</v>
      </c>
      <c r="C469" s="338">
        <v>44</v>
      </c>
      <c r="D469" s="339">
        <v>0</v>
      </c>
      <c r="E469" s="375"/>
      <c r="F469" s="654">
        <v>0</v>
      </c>
      <c r="G469" s="655"/>
      <c r="H469" s="332">
        <f t="shared" si="69"/>
        <v>0</v>
      </c>
      <c r="J469" s="654">
        <v>0</v>
      </c>
      <c r="K469" s="655"/>
      <c r="L469" s="332">
        <f t="shared" si="70"/>
        <v>0</v>
      </c>
      <c r="M469" s="2"/>
      <c r="N469" s="2"/>
      <c r="O469" s="2"/>
      <c r="P469" s="2"/>
      <c r="Q469" s="2"/>
      <c r="R469" s="2"/>
      <c r="S469" s="2"/>
      <c r="T469" s="2"/>
      <c r="U469" s="2"/>
      <c r="V469" s="2"/>
      <c r="W469" s="2"/>
      <c r="X469" s="2"/>
      <c r="Y469" s="2"/>
      <c r="Z469" s="2"/>
      <c r="AA469" s="2"/>
      <c r="AB469" s="2"/>
      <c r="AC469" s="2"/>
      <c r="AD469" s="2"/>
      <c r="AE469" s="2"/>
      <c r="AF469" s="2"/>
      <c r="AG469" s="2"/>
      <c r="AH469" s="2"/>
      <c r="AI469" s="2"/>
      <c r="AJ469" s="2"/>
      <c r="AK469" s="2"/>
    </row>
    <row r="470" spans="2:37">
      <c r="B470" s="45" t="s">
        <v>52</v>
      </c>
      <c r="C470" s="340">
        <v>45</v>
      </c>
      <c r="D470" s="341">
        <v>0</v>
      </c>
      <c r="E470" s="375"/>
      <c r="F470" s="652">
        <v>0</v>
      </c>
      <c r="G470" s="653"/>
      <c r="H470" s="330">
        <f t="shared" si="69"/>
        <v>0</v>
      </c>
      <c r="J470" s="652">
        <v>0</v>
      </c>
      <c r="K470" s="653"/>
      <c r="L470" s="330">
        <f t="shared" si="70"/>
        <v>0</v>
      </c>
      <c r="M470" s="2"/>
      <c r="N470" s="2"/>
      <c r="O470" s="2"/>
      <c r="P470" s="2"/>
      <c r="Q470" s="2"/>
      <c r="R470" s="2"/>
      <c r="S470" s="2"/>
      <c r="T470" s="2"/>
      <c r="U470" s="2"/>
      <c r="V470" s="2"/>
      <c r="W470" s="2"/>
      <c r="X470" s="2"/>
      <c r="Y470" s="2"/>
      <c r="Z470" s="2"/>
      <c r="AA470" s="2"/>
      <c r="AB470" s="2"/>
      <c r="AC470" s="2"/>
      <c r="AD470" s="2"/>
      <c r="AE470" s="2"/>
      <c r="AF470" s="2"/>
      <c r="AG470" s="2"/>
      <c r="AH470" s="2"/>
      <c r="AI470" s="2"/>
      <c r="AJ470" s="2"/>
      <c r="AK470" s="2"/>
    </row>
    <row r="471" spans="2:37">
      <c r="B471" s="342" t="s">
        <v>72</v>
      </c>
      <c r="C471" s="343">
        <v>46</v>
      </c>
      <c r="D471" s="344">
        <v>0</v>
      </c>
      <c r="E471" s="375"/>
      <c r="F471" s="654">
        <v>0</v>
      </c>
      <c r="G471" s="655"/>
      <c r="H471" s="332">
        <f t="shared" si="69"/>
        <v>0</v>
      </c>
      <c r="J471" s="676"/>
      <c r="K471" s="677"/>
      <c r="L471" s="345"/>
      <c r="M471" s="2"/>
      <c r="N471" s="2"/>
      <c r="O471" s="2"/>
      <c r="P471" s="2"/>
      <c r="Q471" s="2"/>
      <c r="R471" s="2"/>
      <c r="S471" s="2"/>
      <c r="T471" s="2"/>
      <c r="U471" s="2"/>
      <c r="V471" s="2"/>
      <c r="W471" s="2"/>
      <c r="X471" s="2"/>
      <c r="Y471" s="2"/>
      <c r="Z471" s="2"/>
      <c r="AA471" s="2"/>
      <c r="AB471" s="2"/>
      <c r="AC471" s="2"/>
      <c r="AD471" s="2"/>
      <c r="AE471" s="2"/>
      <c r="AF471" s="2"/>
      <c r="AG471" s="2"/>
      <c r="AH471" s="2"/>
      <c r="AI471" s="2"/>
      <c r="AJ471" s="2"/>
      <c r="AK471" s="2"/>
    </row>
    <row r="472" spans="2:37">
      <c r="B472" s="45" t="s">
        <v>54</v>
      </c>
      <c r="C472" s="340"/>
      <c r="D472" s="329">
        <f>[1]C051!$C$23</f>
        <v>0</v>
      </c>
      <c r="E472" s="375"/>
      <c r="F472" s="671">
        <f>[1]C051!$D$23</f>
        <v>0</v>
      </c>
      <c r="G472" s="653"/>
      <c r="H472" s="330">
        <f t="shared" si="69"/>
        <v>0</v>
      </c>
      <c r="J472" s="671">
        <f>[1]C051!$E$23</f>
        <v>0</v>
      </c>
      <c r="K472" s="653"/>
      <c r="L472" s="330">
        <f>IF(F472=0,0,((J472-F472)/F472))</f>
        <v>0</v>
      </c>
      <c r="M472" s="2"/>
      <c r="N472" s="2"/>
      <c r="O472" s="2"/>
      <c r="P472" s="2"/>
      <c r="Q472" s="2"/>
      <c r="R472" s="2"/>
      <c r="S472" s="2"/>
      <c r="T472" s="2"/>
      <c r="U472" s="2"/>
      <c r="V472" s="2"/>
      <c r="W472" s="2"/>
      <c r="X472" s="2"/>
      <c r="Y472" s="2"/>
      <c r="Z472" s="2"/>
      <c r="AA472" s="2"/>
      <c r="AB472" s="2"/>
      <c r="AC472" s="2"/>
      <c r="AD472" s="2"/>
      <c r="AE472" s="2"/>
      <c r="AF472" s="2"/>
      <c r="AG472" s="2"/>
      <c r="AH472" s="2"/>
      <c r="AI472" s="2"/>
      <c r="AJ472" s="2"/>
      <c r="AK472" s="2"/>
    </row>
    <row r="473" spans="2:37">
      <c r="B473" s="342" t="s">
        <v>55</v>
      </c>
      <c r="C473" s="343"/>
      <c r="D473" s="346">
        <f>SUM([1]C053!$C$69:$C$84)</f>
        <v>0</v>
      </c>
      <c r="E473" s="375"/>
      <c r="F473" s="656">
        <f>SUM([1]C053!$D$69:$D$84)</f>
        <v>0</v>
      </c>
      <c r="G473" s="655"/>
      <c r="H473" s="332">
        <f t="shared" si="69"/>
        <v>0</v>
      </c>
      <c r="J473" s="678"/>
      <c r="K473" s="679"/>
      <c r="L473" s="347"/>
      <c r="M473" s="2"/>
      <c r="N473" s="2"/>
      <c r="O473" s="2"/>
      <c r="P473" s="2"/>
      <c r="Q473" s="2"/>
      <c r="R473" s="2"/>
      <c r="S473" s="2"/>
      <c r="T473" s="2"/>
      <c r="U473" s="2"/>
      <c r="V473" s="2"/>
      <c r="W473" s="2"/>
      <c r="X473" s="2"/>
      <c r="Y473" s="2"/>
      <c r="Z473" s="2"/>
      <c r="AA473" s="2"/>
      <c r="AB473" s="2"/>
      <c r="AC473" s="2"/>
      <c r="AD473" s="2"/>
      <c r="AE473" s="2"/>
      <c r="AF473" s="2"/>
      <c r="AG473" s="2"/>
      <c r="AH473" s="2"/>
      <c r="AI473" s="2"/>
      <c r="AJ473" s="2"/>
      <c r="AK473" s="2"/>
    </row>
    <row r="474" spans="2:37">
      <c r="B474" s="45" t="s">
        <v>56</v>
      </c>
      <c r="C474" s="340"/>
      <c r="D474" s="329">
        <f>SUM([1]C055!$C$37:$C$40)</f>
        <v>0</v>
      </c>
      <c r="E474" s="375"/>
      <c r="F474" s="671">
        <f>SUM([1]C055!$D$37:$D$40)</f>
        <v>0</v>
      </c>
      <c r="G474" s="653"/>
      <c r="H474" s="330">
        <f t="shared" si="69"/>
        <v>0</v>
      </c>
      <c r="J474" s="680"/>
      <c r="K474" s="681"/>
      <c r="L474" s="348"/>
      <c r="M474" s="2"/>
      <c r="N474" s="2"/>
      <c r="O474" s="2"/>
      <c r="P474" s="2"/>
      <c r="Q474" s="2"/>
      <c r="R474" s="2"/>
      <c r="S474" s="2"/>
      <c r="T474" s="2"/>
      <c r="U474" s="2"/>
      <c r="V474" s="2"/>
      <c r="W474" s="2"/>
      <c r="X474" s="2"/>
      <c r="Y474" s="2"/>
      <c r="Z474" s="2"/>
      <c r="AA474" s="2"/>
      <c r="AB474" s="2"/>
      <c r="AC474" s="2"/>
      <c r="AD474" s="2"/>
      <c r="AE474" s="2"/>
      <c r="AF474" s="2"/>
      <c r="AG474" s="2"/>
      <c r="AH474" s="2"/>
      <c r="AI474" s="2"/>
      <c r="AJ474" s="2"/>
      <c r="AK474" s="2"/>
    </row>
    <row r="475" spans="2:37">
      <c r="B475" s="342" t="s">
        <v>57</v>
      </c>
      <c r="C475" s="343"/>
      <c r="D475" s="344">
        <v>0</v>
      </c>
      <c r="E475" s="375"/>
      <c r="F475" s="654">
        <v>0</v>
      </c>
      <c r="G475" s="655"/>
      <c r="H475" s="332">
        <f t="shared" si="69"/>
        <v>0</v>
      </c>
      <c r="J475" s="682"/>
      <c r="K475" s="683"/>
      <c r="L475" s="349"/>
      <c r="M475" s="2"/>
      <c r="N475" s="2"/>
      <c r="O475" s="2"/>
      <c r="P475" s="2"/>
      <c r="Q475" s="2"/>
      <c r="R475" s="2"/>
      <c r="S475" s="2"/>
      <c r="T475" s="2"/>
      <c r="U475" s="2"/>
      <c r="V475" s="2"/>
      <c r="W475" s="2"/>
      <c r="X475" s="2"/>
      <c r="Y475" s="2"/>
      <c r="Z475" s="2"/>
      <c r="AA475" s="2"/>
      <c r="AB475" s="2"/>
      <c r="AC475" s="2"/>
      <c r="AD475" s="2"/>
      <c r="AE475" s="2"/>
      <c r="AF475" s="2"/>
      <c r="AG475" s="2"/>
      <c r="AH475" s="2"/>
      <c r="AI475" s="2"/>
      <c r="AJ475" s="2"/>
      <c r="AK475" s="2"/>
    </row>
    <row r="476" spans="2:37">
      <c r="B476" s="350" t="str">
        <f>B1118</f>
        <v>Bond and Interest #1</v>
      </c>
      <c r="C476" s="340">
        <v>62</v>
      </c>
      <c r="D476" s="341">
        <v>0</v>
      </c>
      <c r="E476" s="375"/>
      <c r="F476" s="652">
        <v>0</v>
      </c>
      <c r="G476" s="653"/>
      <c r="H476" s="330">
        <f t="shared" si="69"/>
        <v>0</v>
      </c>
      <c r="J476" s="652">
        <v>0</v>
      </c>
      <c r="K476" s="653"/>
      <c r="L476" s="330">
        <f t="shared" ref="L476:L487" si="71">IF(F476=0,0,((J476-F476)/F476))</f>
        <v>0</v>
      </c>
      <c r="M476" s="2"/>
      <c r="N476" s="2"/>
      <c r="O476" s="2"/>
      <c r="P476" s="2"/>
      <c r="Q476" s="2"/>
      <c r="R476" s="2"/>
      <c r="S476" s="2"/>
      <c r="T476" s="2"/>
      <c r="U476" s="2"/>
      <c r="V476" s="2"/>
      <c r="W476" s="2"/>
      <c r="X476" s="2"/>
      <c r="Y476" s="2"/>
      <c r="Z476" s="2"/>
      <c r="AA476" s="2"/>
      <c r="AB476" s="2"/>
      <c r="AC476" s="2"/>
      <c r="AD476" s="2"/>
      <c r="AE476" s="2"/>
      <c r="AF476" s="2"/>
      <c r="AG476" s="2"/>
      <c r="AH476" s="2"/>
      <c r="AI476" s="2"/>
      <c r="AJ476" s="2"/>
      <c r="AK476" s="2"/>
    </row>
    <row r="477" spans="2:37">
      <c r="B477" s="351" t="str">
        <f>B1119</f>
        <v>Bond and Interest #2</v>
      </c>
      <c r="C477" s="343">
        <v>63</v>
      </c>
      <c r="D477" s="344">
        <v>0</v>
      </c>
      <c r="E477" s="375"/>
      <c r="F477" s="654">
        <v>0</v>
      </c>
      <c r="G477" s="655"/>
      <c r="H477" s="332">
        <f t="shared" si="69"/>
        <v>0</v>
      </c>
      <c r="J477" s="654">
        <v>0</v>
      </c>
      <c r="K477" s="655"/>
      <c r="L477" s="332">
        <f t="shared" si="71"/>
        <v>0</v>
      </c>
      <c r="M477" s="2"/>
      <c r="N477" s="2"/>
      <c r="O477" s="2"/>
      <c r="P477" s="2"/>
      <c r="Q477" s="2"/>
      <c r="R477" s="2"/>
      <c r="S477" s="2"/>
      <c r="T477" s="2"/>
      <c r="U477" s="2"/>
      <c r="V477" s="2"/>
      <c r="W477" s="2"/>
      <c r="X477" s="2"/>
      <c r="Y477" s="2"/>
      <c r="Z477" s="2"/>
      <c r="AA477" s="2"/>
      <c r="AB477" s="2"/>
      <c r="AC477" s="2"/>
      <c r="AD477" s="2"/>
      <c r="AE477" s="2"/>
      <c r="AF477" s="2"/>
      <c r="AG477" s="2"/>
      <c r="AH477" s="2"/>
      <c r="AI477" s="2"/>
      <c r="AJ477" s="2"/>
      <c r="AK477" s="2"/>
    </row>
    <row r="478" spans="2:37">
      <c r="B478" s="45" t="s">
        <v>58</v>
      </c>
      <c r="C478" s="340">
        <v>66</v>
      </c>
      <c r="D478" s="341">
        <v>0</v>
      </c>
      <c r="E478" s="375"/>
      <c r="F478" s="652">
        <v>0</v>
      </c>
      <c r="G478" s="653"/>
      <c r="H478" s="330">
        <f t="shared" si="69"/>
        <v>0</v>
      </c>
      <c r="J478" s="652">
        <v>0</v>
      </c>
      <c r="K478" s="653"/>
      <c r="L478" s="330">
        <f t="shared" si="71"/>
        <v>0</v>
      </c>
      <c r="M478" s="2"/>
      <c r="N478" s="2"/>
      <c r="O478" s="2"/>
      <c r="P478" s="2"/>
      <c r="Q478" s="2"/>
      <c r="R478" s="2"/>
      <c r="S478" s="2"/>
      <c r="T478" s="2"/>
      <c r="U478" s="2"/>
      <c r="V478" s="2"/>
      <c r="W478" s="2"/>
      <c r="X478" s="2"/>
      <c r="Y478" s="2"/>
      <c r="Z478" s="2"/>
      <c r="AA478" s="2"/>
      <c r="AB478" s="2"/>
      <c r="AC478" s="2"/>
      <c r="AD478" s="2"/>
      <c r="AE478" s="2"/>
      <c r="AF478" s="2"/>
      <c r="AG478" s="2"/>
      <c r="AH478" s="2"/>
      <c r="AI478" s="2"/>
      <c r="AJ478" s="2"/>
      <c r="AK478" s="2"/>
    </row>
    <row r="479" spans="2:37">
      <c r="B479" s="342" t="s">
        <v>59</v>
      </c>
      <c r="C479" s="343">
        <v>67</v>
      </c>
      <c r="D479" s="344">
        <v>0</v>
      </c>
      <c r="E479" s="375"/>
      <c r="F479" s="654">
        <v>0</v>
      </c>
      <c r="G479" s="655"/>
      <c r="H479" s="332">
        <f t="shared" si="69"/>
        <v>0</v>
      </c>
      <c r="J479" s="654">
        <v>0</v>
      </c>
      <c r="K479" s="655"/>
      <c r="L479" s="332">
        <f t="shared" si="71"/>
        <v>0</v>
      </c>
      <c r="M479" s="2"/>
      <c r="N479" s="2"/>
      <c r="O479" s="2"/>
      <c r="P479" s="2"/>
      <c r="Q479" s="2"/>
      <c r="R479" s="2"/>
      <c r="S479" s="2"/>
      <c r="T479" s="2"/>
      <c r="U479" s="2"/>
      <c r="V479" s="2"/>
      <c r="W479" s="2"/>
      <c r="X479" s="2"/>
      <c r="Y479" s="2"/>
      <c r="Z479" s="2"/>
      <c r="AA479" s="2"/>
      <c r="AB479" s="2"/>
      <c r="AC479" s="2"/>
      <c r="AD479" s="2"/>
      <c r="AE479" s="2"/>
      <c r="AF479" s="2"/>
      <c r="AG479" s="2"/>
      <c r="AH479" s="2"/>
      <c r="AI479" s="2"/>
      <c r="AJ479" s="2"/>
      <c r="AK479" s="2"/>
    </row>
    <row r="480" spans="2:37" ht="15" thickBot="1">
      <c r="B480" s="45" t="s">
        <v>60</v>
      </c>
      <c r="C480" s="340">
        <v>68</v>
      </c>
      <c r="D480" s="341">
        <v>0</v>
      </c>
      <c r="E480" s="375"/>
      <c r="F480" s="669">
        <v>0</v>
      </c>
      <c r="G480" s="670"/>
      <c r="H480" s="247">
        <f t="shared" si="69"/>
        <v>0</v>
      </c>
      <c r="J480" s="669">
        <v>0</v>
      </c>
      <c r="K480" s="670"/>
      <c r="L480" s="247">
        <f t="shared" si="71"/>
        <v>0</v>
      </c>
      <c r="M480" s="2"/>
      <c r="N480" s="2"/>
      <c r="O480" s="2"/>
      <c r="P480" s="2"/>
      <c r="Q480" s="2"/>
      <c r="R480" s="2"/>
      <c r="S480" s="2"/>
      <c r="T480" s="2"/>
      <c r="U480" s="2"/>
      <c r="V480" s="2"/>
      <c r="W480" s="2"/>
      <c r="X480" s="2"/>
      <c r="Y480" s="2"/>
      <c r="Z480" s="2"/>
      <c r="AA480" s="2"/>
      <c r="AB480" s="2"/>
      <c r="AC480" s="2"/>
      <c r="AD480" s="2"/>
      <c r="AE480" s="2"/>
      <c r="AF480" s="2"/>
      <c r="AG480" s="2"/>
      <c r="AH480" s="2"/>
      <c r="AI480" s="2"/>
      <c r="AJ480" s="2"/>
      <c r="AK480" s="2"/>
    </row>
    <row r="481" spans="2:37" ht="15" thickTop="1">
      <c r="B481" s="353" t="s">
        <v>61</v>
      </c>
      <c r="C481" s="353"/>
      <c r="D481" s="371">
        <f>SUM(D449:D480)</f>
        <v>1258</v>
      </c>
      <c r="E481" s="375"/>
      <c r="F481" s="667">
        <f>SUM(F449:G480)</f>
        <v>240</v>
      </c>
      <c r="G481" s="668"/>
      <c r="H481" s="372">
        <f t="shared" si="69"/>
        <v>-0.81</v>
      </c>
      <c r="J481" s="667">
        <f>SUM(J449:K480)</f>
        <v>100</v>
      </c>
      <c r="K481" s="668"/>
      <c r="L481" s="372">
        <f t="shared" si="71"/>
        <v>-0.57999999999999996</v>
      </c>
      <c r="M481" s="2"/>
      <c r="N481" s="2"/>
      <c r="O481" s="2"/>
      <c r="P481" s="2"/>
      <c r="Q481" s="2"/>
      <c r="R481" s="2"/>
      <c r="S481" s="2"/>
      <c r="T481" s="2"/>
      <c r="U481" s="2"/>
      <c r="V481" s="2"/>
      <c r="W481" s="2"/>
      <c r="X481" s="2"/>
      <c r="Y481" s="2"/>
      <c r="Z481" s="2"/>
      <c r="AA481" s="2"/>
      <c r="AB481" s="2"/>
      <c r="AC481" s="2"/>
      <c r="AD481" s="2"/>
      <c r="AE481" s="2"/>
      <c r="AF481" s="2"/>
      <c r="AG481" s="2"/>
      <c r="AH481" s="2"/>
      <c r="AI481" s="2"/>
      <c r="AJ481" s="2"/>
      <c r="AK481" s="2"/>
    </row>
    <row r="482" spans="2:37" ht="15.75">
      <c r="B482" s="45" t="s">
        <v>181</v>
      </c>
      <c r="C482" s="45"/>
      <c r="D482" s="356">
        <f>G1312</f>
        <v>70.7</v>
      </c>
      <c r="E482" s="375"/>
      <c r="F482" s="665">
        <f>I1312</f>
        <v>82.5</v>
      </c>
      <c r="G482" s="666"/>
      <c r="H482" s="247">
        <f t="shared" si="69"/>
        <v>0.17</v>
      </c>
      <c r="J482" s="665">
        <f>K1312</f>
        <v>70</v>
      </c>
      <c r="K482" s="666"/>
      <c r="L482" s="247">
        <f t="shared" si="71"/>
        <v>-0.15</v>
      </c>
      <c r="M482" s="2"/>
      <c r="N482" s="2"/>
      <c r="O482" s="2"/>
      <c r="P482" s="2"/>
      <c r="Q482" s="2"/>
      <c r="R482" s="2"/>
      <c r="S482" s="2"/>
      <c r="T482" s="2"/>
      <c r="U482" s="2"/>
      <c r="V482" s="2"/>
      <c r="W482" s="2"/>
      <c r="X482" s="2"/>
      <c r="Y482" s="2"/>
      <c r="Z482" s="2"/>
      <c r="AA482" s="2"/>
      <c r="AB482" s="2"/>
      <c r="AC482" s="2"/>
      <c r="AD482" s="2"/>
      <c r="AE482" s="2"/>
      <c r="AF482" s="2"/>
      <c r="AG482" s="2"/>
      <c r="AH482" s="2"/>
      <c r="AI482" s="2"/>
      <c r="AJ482" s="2"/>
      <c r="AK482" s="2"/>
    </row>
    <row r="483" spans="2:37" ht="16.5" thickBot="1">
      <c r="B483" s="342" t="s">
        <v>182</v>
      </c>
      <c r="C483" s="342"/>
      <c r="D483" s="346">
        <f>IF(D481=0,0,D481/D482)</f>
        <v>18</v>
      </c>
      <c r="E483" s="375"/>
      <c r="F483" s="663">
        <f>IF(F481=0,0,F481/F482)</f>
        <v>3</v>
      </c>
      <c r="G483" s="664"/>
      <c r="H483" s="357">
        <f t="shared" si="69"/>
        <v>-0.83</v>
      </c>
      <c r="J483" s="663">
        <f>IF(J481=0,0,J481/J482)</f>
        <v>1</v>
      </c>
      <c r="K483" s="664"/>
      <c r="L483" s="357">
        <f t="shared" si="71"/>
        <v>-0.67</v>
      </c>
      <c r="M483" s="2"/>
      <c r="N483" s="2"/>
      <c r="O483" s="2"/>
      <c r="P483" s="2"/>
      <c r="Q483" s="2"/>
      <c r="R483" s="2"/>
      <c r="S483" s="2"/>
      <c r="T483" s="2"/>
      <c r="U483" s="2"/>
      <c r="V483" s="2"/>
      <c r="W483" s="2"/>
      <c r="X483" s="2"/>
      <c r="Y483" s="2"/>
      <c r="Z483" s="2"/>
      <c r="AA483" s="2"/>
      <c r="AB483" s="2"/>
      <c r="AC483" s="2"/>
      <c r="AD483" s="2"/>
      <c r="AE483" s="2"/>
      <c r="AF483" s="2"/>
      <c r="AG483" s="2"/>
      <c r="AH483" s="2"/>
      <c r="AI483" s="2"/>
      <c r="AJ483" s="2"/>
      <c r="AK483" s="2"/>
    </row>
    <row r="484" spans="2:37">
      <c r="B484" s="358" t="s">
        <v>63</v>
      </c>
      <c r="C484" s="358"/>
      <c r="D484" s="359">
        <f>SUM([1]C010!$C$103:$C$117)</f>
        <v>0</v>
      </c>
      <c r="E484" s="375"/>
      <c r="F484" s="769">
        <f>SUM([1]C010!$D$103:$D$117)</f>
        <v>0</v>
      </c>
      <c r="G484" s="662"/>
      <c r="H484" s="360">
        <f t="shared" si="69"/>
        <v>0</v>
      </c>
      <c r="J484" s="769">
        <f>SUM([1]C010!$E$103:$E$117)</f>
        <v>0</v>
      </c>
      <c r="K484" s="662"/>
      <c r="L484" s="360">
        <f t="shared" si="71"/>
        <v>0</v>
      </c>
      <c r="M484" s="2"/>
      <c r="N484" s="2"/>
      <c r="O484" s="2"/>
      <c r="P484" s="2"/>
      <c r="Q484" s="2"/>
      <c r="R484" s="2"/>
      <c r="S484" s="2"/>
      <c r="T484" s="2"/>
      <c r="U484" s="2"/>
      <c r="V484" s="2"/>
      <c r="W484" s="2"/>
      <c r="X484" s="2"/>
      <c r="Y484" s="2"/>
      <c r="Z484" s="2"/>
      <c r="AA484" s="2"/>
      <c r="AB484" s="2"/>
      <c r="AC484" s="2"/>
      <c r="AD484" s="2"/>
      <c r="AE484" s="2"/>
      <c r="AF484" s="2"/>
      <c r="AG484" s="2"/>
      <c r="AH484" s="2"/>
      <c r="AI484" s="2"/>
      <c r="AJ484" s="2"/>
      <c r="AK484" s="2"/>
    </row>
    <row r="485" spans="2:37">
      <c r="B485" s="342" t="s">
        <v>64</v>
      </c>
      <c r="C485" s="342"/>
      <c r="D485" s="331">
        <f>SUM([1]C012!$C$76:$C$87)</f>
        <v>0</v>
      </c>
      <c r="E485" s="375"/>
      <c r="F485" s="656">
        <f>SUM([1]C012!$D$76:$D$87)</f>
        <v>0</v>
      </c>
      <c r="G485" s="655"/>
      <c r="H485" s="332">
        <f t="shared" si="69"/>
        <v>0</v>
      </c>
      <c r="J485" s="656">
        <f>SUM([1]C012!$E$76:$E$87)</f>
        <v>0</v>
      </c>
      <c r="K485" s="655"/>
      <c r="L485" s="332">
        <f t="shared" si="71"/>
        <v>0</v>
      </c>
      <c r="M485" s="2"/>
      <c r="N485" s="2"/>
      <c r="O485" s="2"/>
      <c r="P485" s="2"/>
      <c r="Q485" s="2"/>
      <c r="R485" s="2"/>
      <c r="S485" s="2"/>
      <c r="T485" s="2"/>
      <c r="U485" s="2"/>
      <c r="V485" s="2"/>
      <c r="W485" s="2"/>
      <c r="X485" s="2"/>
      <c r="Y485" s="2"/>
      <c r="Z485" s="2"/>
      <c r="AA485" s="2"/>
      <c r="AB485" s="2"/>
      <c r="AC485" s="2"/>
      <c r="AD485" s="2"/>
      <c r="AE485" s="2"/>
      <c r="AF485" s="2"/>
      <c r="AG485" s="2"/>
      <c r="AH485" s="2"/>
      <c r="AI485" s="2"/>
      <c r="AJ485" s="2"/>
      <c r="AK485" s="2"/>
    </row>
    <row r="486" spans="2:37" ht="15" thickBot="1">
      <c r="B486" s="361" t="s">
        <v>65</v>
      </c>
      <c r="C486" s="361"/>
      <c r="D486" s="362">
        <f>SUM([1]C078!$C$77:$C$91)</f>
        <v>0</v>
      </c>
      <c r="E486" s="375"/>
      <c r="F486" s="684">
        <f>SUM([1]C078!$D$77:$D$91)</f>
        <v>0</v>
      </c>
      <c r="G486" s="660"/>
      <c r="H486" s="363">
        <f t="shared" si="69"/>
        <v>0</v>
      </c>
      <c r="J486" s="684">
        <f>SUM([1]C078!$E$77:$E$91)</f>
        <v>0</v>
      </c>
      <c r="K486" s="660"/>
      <c r="L486" s="363">
        <f t="shared" si="71"/>
        <v>0</v>
      </c>
      <c r="M486" s="2"/>
      <c r="N486" s="2"/>
      <c r="O486" s="2"/>
      <c r="P486" s="2"/>
      <c r="Q486" s="2"/>
      <c r="R486" s="2"/>
      <c r="S486" s="2"/>
      <c r="T486" s="2"/>
      <c r="U486" s="2"/>
      <c r="V486" s="2"/>
      <c r="W486" s="2"/>
      <c r="X486" s="2"/>
      <c r="Y486" s="2"/>
      <c r="Z486" s="2"/>
      <c r="AA486" s="2"/>
      <c r="AB486" s="2"/>
      <c r="AC486" s="2"/>
      <c r="AD486" s="2"/>
      <c r="AE486" s="2"/>
      <c r="AF486" s="2"/>
      <c r="AG486" s="2"/>
      <c r="AH486" s="2"/>
      <c r="AI486" s="2"/>
      <c r="AJ486" s="2"/>
      <c r="AK486" s="2"/>
    </row>
    <row r="487" spans="2:37" ht="17.25" customHeight="1" thickTop="1">
      <c r="B487" s="365" t="s">
        <v>66</v>
      </c>
      <c r="C487" s="365"/>
      <c r="D487" s="373">
        <f>SUM(D484:D486,D481)</f>
        <v>1258</v>
      </c>
      <c r="E487" s="375"/>
      <c r="F487" s="657">
        <f>SUM(F484:G486,F481)</f>
        <v>240</v>
      </c>
      <c r="G487" s="658"/>
      <c r="H487" s="374">
        <f t="shared" si="69"/>
        <v>-0.81</v>
      </c>
      <c r="J487" s="657">
        <f>SUM(J484:K486,J481)</f>
        <v>100</v>
      </c>
      <c r="K487" s="658"/>
      <c r="L487" s="374">
        <f t="shared" si="71"/>
        <v>-0.57999999999999996</v>
      </c>
      <c r="M487" s="2"/>
      <c r="N487" s="2"/>
      <c r="O487" s="2"/>
      <c r="P487" s="2"/>
      <c r="Q487" s="2"/>
      <c r="R487" s="2"/>
      <c r="S487" s="2"/>
      <c r="T487" s="2"/>
      <c r="U487" s="2"/>
      <c r="V487" s="2"/>
      <c r="W487" s="2"/>
      <c r="X487" s="2"/>
      <c r="Y487" s="2"/>
      <c r="Z487" s="2"/>
      <c r="AA487" s="2"/>
      <c r="AB487" s="2"/>
      <c r="AC487" s="2"/>
      <c r="AD487" s="2"/>
      <c r="AE487" s="2"/>
      <c r="AF487" s="2"/>
      <c r="AG487" s="2"/>
      <c r="AH487" s="2"/>
      <c r="AI487" s="2"/>
      <c r="AJ487" s="2"/>
      <c r="AK487" s="2"/>
    </row>
    <row r="488" spans="2:37" ht="6.75" customHeight="1">
      <c r="B488" s="2"/>
      <c r="C488" s="2"/>
      <c r="D488" s="159"/>
      <c r="E488" s="376"/>
      <c r="F488" s="159"/>
      <c r="G488" s="201"/>
      <c r="H488" s="2"/>
      <c r="I488" s="159"/>
      <c r="J488" s="201"/>
      <c r="K488" s="2"/>
      <c r="L488" s="2"/>
      <c r="M488" s="2"/>
      <c r="N488" s="2"/>
      <c r="O488" s="2"/>
      <c r="P488" s="2"/>
      <c r="Q488" s="2"/>
      <c r="R488" s="2"/>
      <c r="S488" s="2"/>
      <c r="T488" s="2"/>
      <c r="U488" s="2"/>
      <c r="V488" s="2"/>
      <c r="W488" s="2"/>
      <c r="X488" s="2"/>
      <c r="Y488" s="2"/>
      <c r="Z488" s="2"/>
      <c r="AA488" s="2"/>
      <c r="AB488" s="2"/>
      <c r="AC488" s="2"/>
      <c r="AD488" s="2"/>
      <c r="AE488" s="2"/>
      <c r="AF488" s="2"/>
      <c r="AG488" s="2"/>
      <c r="AH488" s="2"/>
      <c r="AI488" s="2"/>
      <c r="AJ488" s="2"/>
      <c r="AK488" s="2"/>
    </row>
    <row r="489" spans="2:37">
      <c r="B489" s="649"/>
      <c r="C489" s="649"/>
      <c r="D489" s="649"/>
      <c r="E489" s="649"/>
      <c r="F489" s="649"/>
      <c r="G489" s="649"/>
      <c r="H489" s="649"/>
      <c r="I489" s="649"/>
      <c r="J489" s="649"/>
      <c r="K489" s="649"/>
      <c r="L489" s="649"/>
      <c r="M489" s="2"/>
      <c r="N489" s="2"/>
      <c r="O489" s="2"/>
      <c r="P489" s="2"/>
      <c r="Q489" s="2"/>
      <c r="R489" s="2"/>
      <c r="S489" s="2"/>
      <c r="T489" s="2"/>
      <c r="U489" s="2"/>
      <c r="V489" s="2"/>
      <c r="W489" s="2"/>
      <c r="X489" s="2"/>
      <c r="Y489" s="2"/>
      <c r="Z489" s="2"/>
      <c r="AA489" s="2"/>
      <c r="AB489" s="2"/>
      <c r="AC489" s="2"/>
      <c r="AD489" s="2"/>
      <c r="AE489" s="2"/>
      <c r="AF489" s="2"/>
      <c r="AG489" s="2"/>
      <c r="AH489" s="2"/>
      <c r="AI489" s="2"/>
      <c r="AJ489" s="2"/>
      <c r="AK489" s="2"/>
    </row>
    <row r="490" spans="2:37">
      <c r="B490" s="649"/>
      <c r="C490" s="649"/>
      <c r="D490" s="649"/>
      <c r="E490" s="649"/>
      <c r="F490" s="649"/>
      <c r="G490" s="649"/>
      <c r="H490" s="649"/>
      <c r="I490" s="649"/>
      <c r="J490" s="649"/>
      <c r="K490" s="649"/>
      <c r="L490" s="649"/>
      <c r="M490" s="2"/>
      <c r="N490" s="2"/>
      <c r="O490" s="2"/>
      <c r="P490" s="2"/>
      <c r="Q490" s="2"/>
      <c r="R490" s="2"/>
      <c r="S490" s="2"/>
      <c r="T490" s="2"/>
      <c r="U490" s="2"/>
      <c r="V490" s="2"/>
      <c r="W490" s="2"/>
      <c r="X490" s="2"/>
      <c r="Y490" s="2"/>
      <c r="Z490" s="2"/>
      <c r="AA490" s="2"/>
      <c r="AB490" s="2"/>
      <c r="AC490" s="2"/>
      <c r="AD490" s="2"/>
      <c r="AE490" s="2"/>
      <c r="AF490" s="2"/>
      <c r="AG490" s="2"/>
      <c r="AH490" s="2"/>
      <c r="AI490" s="2"/>
      <c r="AJ490" s="2"/>
      <c r="AK490" s="2"/>
    </row>
    <row r="491" spans="2:37">
      <c r="B491" s="649"/>
      <c r="C491" s="649"/>
      <c r="D491" s="649"/>
      <c r="E491" s="649"/>
      <c r="F491" s="649"/>
      <c r="G491" s="649"/>
      <c r="H491" s="649"/>
      <c r="I491" s="649"/>
      <c r="J491" s="649"/>
      <c r="K491" s="649"/>
      <c r="L491" s="649"/>
      <c r="M491" s="2"/>
      <c r="N491" s="2"/>
      <c r="O491" s="2"/>
      <c r="P491" s="2"/>
      <c r="Q491" s="2"/>
      <c r="R491" s="2"/>
      <c r="S491" s="2"/>
      <c r="T491" s="2"/>
      <c r="U491" s="2"/>
      <c r="V491" s="2"/>
      <c r="W491" s="2"/>
      <c r="X491" s="2"/>
      <c r="Y491" s="2"/>
      <c r="Z491" s="2"/>
      <c r="AA491" s="2"/>
      <c r="AB491" s="2"/>
      <c r="AC491" s="2"/>
      <c r="AD491" s="2"/>
      <c r="AE491" s="2"/>
      <c r="AF491" s="2"/>
      <c r="AG491" s="2"/>
      <c r="AH491" s="2"/>
      <c r="AI491" s="2"/>
      <c r="AJ491" s="2"/>
      <c r="AK491" s="2"/>
    </row>
    <row r="492" spans="2:37">
      <c r="B492" s="205"/>
      <c r="C492" s="2"/>
      <c r="D492" s="159"/>
      <c r="E492" s="2"/>
      <c r="F492" s="159"/>
      <c r="G492" s="2"/>
      <c r="H492" s="2"/>
      <c r="I492" s="159"/>
      <c r="J492" s="2"/>
      <c r="K492" s="2"/>
      <c r="L492" s="2"/>
      <c r="M492" s="2"/>
      <c r="N492" s="2"/>
      <c r="O492" s="2"/>
      <c r="P492" s="2"/>
      <c r="Q492" s="2"/>
      <c r="R492" s="2"/>
      <c r="S492" s="2"/>
      <c r="T492" s="2"/>
      <c r="U492" s="2"/>
      <c r="V492" s="2"/>
      <c r="W492" s="2"/>
      <c r="X492" s="2"/>
      <c r="Y492" s="2"/>
      <c r="Z492" s="2"/>
      <c r="AA492" s="2"/>
      <c r="AB492" s="2"/>
      <c r="AC492" s="2"/>
      <c r="AD492" s="2"/>
      <c r="AE492" s="2"/>
      <c r="AF492" s="2"/>
      <c r="AG492" s="2"/>
      <c r="AH492" s="2"/>
      <c r="AI492" s="2"/>
      <c r="AJ492" s="2"/>
      <c r="AK492" s="2"/>
    </row>
    <row r="493" spans="2:37">
      <c r="M493" s="2"/>
      <c r="N493" s="2"/>
      <c r="O493" s="2"/>
      <c r="P493" s="2"/>
      <c r="Q493" s="2"/>
      <c r="R493" s="2"/>
      <c r="S493" s="2"/>
      <c r="T493" s="2"/>
      <c r="U493" s="2"/>
      <c r="V493" s="2"/>
      <c r="W493" s="2"/>
      <c r="X493" s="2"/>
      <c r="Y493" s="2"/>
      <c r="Z493" s="2"/>
      <c r="AA493" s="2"/>
      <c r="AB493" s="2"/>
      <c r="AC493" s="2"/>
      <c r="AD493" s="2"/>
      <c r="AE493" s="2"/>
      <c r="AF493" s="2"/>
      <c r="AG493" s="2"/>
      <c r="AH493" s="2"/>
      <c r="AI493" s="2"/>
      <c r="AJ493" s="2"/>
      <c r="AK493" s="2"/>
    </row>
    <row r="494" spans="2:37">
      <c r="M494" s="2"/>
      <c r="N494" s="2"/>
      <c r="O494" s="2"/>
      <c r="P494" s="2"/>
      <c r="Q494" s="2"/>
      <c r="R494" s="2"/>
      <c r="S494" s="2"/>
      <c r="T494" s="2"/>
      <c r="U494" s="2"/>
      <c r="V494" s="2"/>
      <c r="W494" s="2"/>
      <c r="X494" s="2"/>
      <c r="Y494" s="2"/>
      <c r="Z494" s="2"/>
      <c r="AA494" s="2"/>
      <c r="AB494" s="2"/>
      <c r="AC494" s="2"/>
      <c r="AD494" s="2"/>
      <c r="AE494" s="2"/>
      <c r="AF494" s="2"/>
      <c r="AG494" s="2"/>
      <c r="AH494" s="2"/>
      <c r="AI494" s="2"/>
      <c r="AJ494" s="2"/>
      <c r="AK494" s="2"/>
    </row>
    <row r="495" spans="2:37">
      <c r="M495" s="2"/>
      <c r="N495" s="2"/>
      <c r="O495" s="2"/>
      <c r="P495" s="2"/>
      <c r="Q495" s="2"/>
      <c r="R495" s="2"/>
      <c r="S495" s="2"/>
      <c r="T495" s="2"/>
      <c r="U495" s="2"/>
      <c r="V495" s="2"/>
      <c r="W495" s="2"/>
      <c r="X495" s="2"/>
      <c r="Y495" s="2"/>
      <c r="Z495" s="2"/>
      <c r="AA495" s="2"/>
      <c r="AB495" s="2"/>
      <c r="AC495" s="2"/>
      <c r="AD495" s="2"/>
      <c r="AE495" s="2"/>
      <c r="AF495" s="2"/>
      <c r="AG495" s="2"/>
      <c r="AH495" s="2"/>
      <c r="AI495" s="2"/>
      <c r="AJ495" s="2"/>
      <c r="AK495" s="2"/>
    </row>
    <row r="496" spans="2:37">
      <c r="M496" s="2"/>
      <c r="N496" s="2"/>
      <c r="O496" s="2"/>
      <c r="P496" s="2"/>
      <c r="Q496" s="2"/>
      <c r="R496" s="2"/>
      <c r="S496" s="2"/>
      <c r="T496" s="2"/>
      <c r="U496" s="2"/>
      <c r="V496" s="2"/>
      <c r="W496" s="2"/>
      <c r="X496" s="2"/>
      <c r="Y496" s="2"/>
      <c r="Z496" s="2"/>
      <c r="AA496" s="2"/>
      <c r="AB496" s="2"/>
      <c r="AC496" s="2"/>
      <c r="AD496" s="2"/>
      <c r="AE496" s="2"/>
      <c r="AF496" s="2"/>
      <c r="AG496" s="2"/>
      <c r="AH496" s="2"/>
      <c r="AI496" s="2"/>
      <c r="AJ496" s="2"/>
      <c r="AK496" s="2"/>
    </row>
    <row r="497" spans="2:37">
      <c r="B497" s="2"/>
      <c r="C497" s="2"/>
      <c r="D497" s="159"/>
      <c r="E497" s="2"/>
      <c r="F497" s="159"/>
      <c r="G497" s="2"/>
      <c r="H497" s="2"/>
      <c r="I497" s="159"/>
      <c r="J497" s="2"/>
      <c r="K497" s="2"/>
      <c r="L497" s="2"/>
      <c r="M497" s="2"/>
      <c r="N497" s="2"/>
      <c r="O497" s="2"/>
      <c r="P497" s="2"/>
      <c r="Q497" s="2"/>
      <c r="R497" s="2"/>
      <c r="S497" s="2"/>
      <c r="T497" s="2"/>
      <c r="U497" s="2"/>
      <c r="V497" s="2"/>
      <c r="W497" s="2"/>
      <c r="X497" s="2"/>
      <c r="Y497" s="2"/>
      <c r="Z497" s="2"/>
      <c r="AA497" s="2"/>
      <c r="AB497" s="2"/>
      <c r="AC497" s="2"/>
      <c r="AD497" s="2"/>
      <c r="AE497" s="2"/>
      <c r="AF497" s="2"/>
      <c r="AG497" s="2"/>
      <c r="AH497" s="2"/>
      <c r="AI497" s="2"/>
      <c r="AJ497" s="2"/>
      <c r="AK497" s="2"/>
    </row>
    <row r="498" spans="2:37">
      <c r="B498" s="2"/>
      <c r="C498" s="2"/>
      <c r="D498" s="159"/>
      <c r="E498" s="2"/>
      <c r="F498" s="159"/>
      <c r="G498" s="2"/>
      <c r="H498" s="2"/>
      <c r="I498" s="159"/>
      <c r="J498" s="2"/>
      <c r="K498" s="2"/>
      <c r="L498" s="2"/>
      <c r="M498" s="2"/>
      <c r="N498" s="2"/>
      <c r="O498" s="2"/>
      <c r="P498" s="140" t="str">
        <f>$B$445</f>
        <v>Instructional Support Expenditures (2200)</v>
      </c>
      <c r="Q498" s="2"/>
      <c r="R498" s="2"/>
      <c r="S498" s="2"/>
      <c r="T498" s="2"/>
      <c r="U498" s="2"/>
      <c r="V498" s="2"/>
      <c r="W498" s="2"/>
      <c r="X498" s="2"/>
      <c r="Y498" s="2"/>
      <c r="Z498" s="2"/>
      <c r="AA498" s="2"/>
      <c r="AB498" s="2"/>
      <c r="AC498" s="2"/>
      <c r="AD498" s="2"/>
      <c r="AE498" s="2"/>
      <c r="AF498" s="2"/>
      <c r="AG498" s="2"/>
      <c r="AH498" s="2"/>
      <c r="AI498" s="2"/>
      <c r="AJ498" s="2"/>
      <c r="AK498" s="2"/>
    </row>
    <row r="499" spans="2:37">
      <c r="B499" s="2"/>
      <c r="C499" s="2"/>
      <c r="D499" s="159"/>
      <c r="E499" s="2"/>
      <c r="F499" s="159"/>
      <c r="G499" s="2"/>
      <c r="H499" s="2"/>
      <c r="I499" s="159"/>
      <c r="J499" s="2"/>
      <c r="K499" s="2"/>
      <c r="L499" s="2"/>
      <c r="M499" s="2"/>
      <c r="N499" s="2"/>
      <c r="O499" s="2"/>
      <c r="P499" s="82" t="str">
        <f>D4</f>
        <v>2023-2024</v>
      </c>
      <c r="Q499" s="82" t="str">
        <f>F4</f>
        <v>2024-2025</v>
      </c>
      <c r="R499" s="82" t="str">
        <f>I4</f>
        <v>2025-2026</v>
      </c>
      <c r="S499" s="2"/>
      <c r="T499" s="2"/>
      <c r="U499" s="2"/>
      <c r="V499" s="2"/>
      <c r="W499" s="2"/>
      <c r="X499" s="2"/>
      <c r="Y499" s="2"/>
      <c r="Z499" s="2"/>
      <c r="AA499" s="2"/>
      <c r="AB499" s="2"/>
      <c r="AC499" s="2"/>
      <c r="AD499" s="2"/>
      <c r="AE499" s="2"/>
      <c r="AF499" s="2"/>
      <c r="AG499" s="2"/>
      <c r="AH499" s="2"/>
      <c r="AI499" s="2"/>
      <c r="AJ499" s="2"/>
      <c r="AK499" s="2"/>
    </row>
    <row r="500" spans="2:37">
      <c r="B500" s="2"/>
      <c r="C500" s="2"/>
      <c r="D500" s="159"/>
      <c r="E500" s="2"/>
      <c r="F500" s="159"/>
      <c r="G500" s="2"/>
      <c r="H500" s="2"/>
      <c r="I500" s="159"/>
      <c r="J500" s="2"/>
      <c r="K500" s="2"/>
      <c r="L500" s="2"/>
      <c r="M500" s="2"/>
      <c r="N500" s="2"/>
      <c r="O500" s="140" t="str">
        <f>$B445</f>
        <v>Instructional Support Expenditures (2200)</v>
      </c>
      <c r="P500" s="207">
        <f>IF(AND($D487&lt;=0,$F487&lt;=0,$J487&lt;=0),#N/A,IF($D487&lt;=0,0,$D487))</f>
        <v>1258</v>
      </c>
      <c r="Q500" s="207">
        <f>IF(AND($D487&lt;=0,$F487&lt;=0,$J487&lt;=0),#N/A,IF($F487&lt;=0,0,$F487))</f>
        <v>240</v>
      </c>
      <c r="R500" s="207">
        <f>IF(AND($D487&lt;=0,$F487&lt;=0,$J487&lt;=0),#N/A,IF($J487&lt;=0,0,$J487))</f>
        <v>100</v>
      </c>
      <c r="S500" s="2"/>
      <c r="T500" s="2"/>
      <c r="U500" s="2"/>
      <c r="V500" s="2"/>
      <c r="W500" s="2"/>
      <c r="X500" s="2"/>
      <c r="Y500" s="2"/>
      <c r="Z500" s="2"/>
      <c r="AA500" s="2"/>
      <c r="AB500" s="2"/>
      <c r="AC500" s="2"/>
      <c r="AD500" s="2"/>
      <c r="AE500" s="2"/>
      <c r="AF500" s="2"/>
      <c r="AG500" s="2"/>
      <c r="AH500" s="2"/>
      <c r="AI500" s="2"/>
      <c r="AJ500" s="2"/>
      <c r="AK500" s="2"/>
    </row>
    <row r="501" spans="2:37">
      <c r="B501" s="2"/>
      <c r="C501" s="2"/>
      <c r="D501" s="159"/>
      <c r="E501" s="2"/>
      <c r="F501" s="159"/>
      <c r="G501" s="2"/>
      <c r="H501" s="2"/>
      <c r="I501" s="159"/>
      <c r="J501" s="2"/>
      <c r="K501" s="2"/>
      <c r="L501" s="2"/>
      <c r="M501" s="2"/>
      <c r="N501" s="2"/>
      <c r="O501" s="2"/>
      <c r="P501" s="2"/>
      <c r="Q501" s="2"/>
      <c r="R501" s="2"/>
      <c r="S501" s="2"/>
      <c r="T501" s="2"/>
      <c r="U501" s="2"/>
      <c r="V501" s="2"/>
      <c r="W501" s="2"/>
      <c r="X501" s="2"/>
      <c r="Y501" s="2"/>
      <c r="Z501" s="2"/>
      <c r="AA501" s="2"/>
      <c r="AB501" s="2"/>
      <c r="AC501" s="2"/>
      <c r="AD501" s="2"/>
      <c r="AE501" s="2"/>
      <c r="AF501" s="2"/>
      <c r="AG501" s="2"/>
      <c r="AH501" s="2"/>
      <c r="AI501" s="2"/>
      <c r="AJ501" s="2"/>
      <c r="AK501" s="2"/>
    </row>
    <row r="502" spans="2:37">
      <c r="B502" s="2"/>
      <c r="C502" s="2"/>
      <c r="D502" s="159"/>
      <c r="E502" s="2"/>
      <c r="F502" s="159"/>
      <c r="G502" s="2"/>
      <c r="H502" s="2"/>
      <c r="I502" s="159"/>
      <c r="J502" s="2"/>
      <c r="K502" s="2"/>
      <c r="L502" s="2"/>
      <c r="M502" s="2"/>
      <c r="N502" s="2"/>
      <c r="O502" s="2"/>
      <c r="P502" s="2"/>
      <c r="Q502" s="2"/>
      <c r="R502" s="2"/>
      <c r="S502" s="2"/>
      <c r="T502" s="2"/>
      <c r="U502" s="2"/>
      <c r="V502" s="2"/>
      <c r="W502" s="2"/>
      <c r="X502" s="2"/>
      <c r="Y502" s="2"/>
      <c r="Z502" s="2"/>
      <c r="AA502" s="2"/>
      <c r="AB502" s="2"/>
      <c r="AC502" s="2"/>
      <c r="AD502" s="2"/>
      <c r="AE502" s="2"/>
      <c r="AF502" s="2"/>
      <c r="AG502" s="2"/>
      <c r="AH502" s="2"/>
      <c r="AI502" s="2"/>
      <c r="AJ502" s="2"/>
      <c r="AK502" s="2"/>
    </row>
    <row r="503" spans="2:37">
      <c r="B503" s="2"/>
      <c r="C503" s="2"/>
      <c r="D503" s="159"/>
      <c r="E503" s="2"/>
      <c r="F503" s="159"/>
      <c r="G503" s="2"/>
      <c r="H503" s="2"/>
      <c r="I503" s="159"/>
      <c r="J503" s="2"/>
      <c r="K503" s="2"/>
      <c r="L503" s="2"/>
      <c r="M503" s="2"/>
      <c r="N503" s="2"/>
      <c r="O503" s="2"/>
      <c r="P503" s="2"/>
      <c r="Q503" s="2"/>
      <c r="R503" s="2"/>
      <c r="S503" s="2"/>
      <c r="T503" s="2"/>
      <c r="U503" s="2"/>
      <c r="V503" s="2"/>
      <c r="W503" s="2"/>
      <c r="X503" s="2"/>
      <c r="Y503" s="2"/>
      <c r="Z503" s="2"/>
      <c r="AA503" s="2"/>
      <c r="AB503" s="2"/>
      <c r="AC503" s="2"/>
      <c r="AD503" s="2"/>
      <c r="AE503" s="2"/>
      <c r="AF503" s="2"/>
      <c r="AG503" s="2"/>
      <c r="AH503" s="2"/>
      <c r="AI503" s="2"/>
      <c r="AJ503" s="2"/>
      <c r="AK503" s="2"/>
    </row>
    <row r="504" spans="2:37">
      <c r="B504" s="2"/>
      <c r="C504" s="2"/>
      <c r="D504" s="159"/>
      <c r="E504" s="2"/>
      <c r="F504" s="159"/>
      <c r="G504" s="2"/>
      <c r="H504" s="2"/>
      <c r="I504" s="159"/>
      <c r="J504" s="2"/>
      <c r="K504" s="2"/>
      <c r="L504" s="2"/>
      <c r="M504" s="2"/>
      <c r="N504" s="2"/>
      <c r="O504" s="2"/>
      <c r="P504" s="2"/>
      <c r="Q504" s="2"/>
      <c r="R504" s="2"/>
      <c r="S504" s="2"/>
      <c r="T504" s="2"/>
      <c r="U504" s="2"/>
      <c r="V504" s="2"/>
      <c r="W504" s="2"/>
      <c r="X504" s="2"/>
      <c r="Y504" s="2"/>
      <c r="Z504" s="2"/>
      <c r="AA504" s="2"/>
      <c r="AB504" s="2"/>
      <c r="AC504" s="2"/>
      <c r="AD504" s="2"/>
      <c r="AE504" s="2"/>
      <c r="AF504" s="2"/>
      <c r="AG504" s="2"/>
      <c r="AH504" s="2"/>
      <c r="AI504" s="2"/>
      <c r="AJ504" s="2"/>
      <c r="AK504" s="2"/>
    </row>
    <row r="505" spans="2:37">
      <c r="B505" s="2"/>
      <c r="C505" s="2"/>
      <c r="D505" s="159"/>
      <c r="E505" s="2"/>
      <c r="F505" s="159"/>
      <c r="G505" s="2"/>
      <c r="H505" s="2"/>
      <c r="I505" s="159"/>
      <c r="J505" s="2"/>
      <c r="K505" s="2"/>
      <c r="L505" s="2"/>
      <c r="M505" s="2"/>
      <c r="N505" s="2"/>
      <c r="O505" s="2"/>
      <c r="P505" s="2"/>
      <c r="Q505" s="2"/>
      <c r="R505" s="2"/>
      <c r="S505" s="2"/>
      <c r="T505" s="2"/>
      <c r="U505" s="2"/>
      <c r="V505" s="2"/>
      <c r="W505" s="2"/>
      <c r="X505" s="2"/>
      <c r="Y505" s="2"/>
      <c r="Z505" s="2"/>
      <c r="AA505" s="2"/>
      <c r="AB505" s="2"/>
      <c r="AC505" s="2"/>
      <c r="AD505" s="2"/>
      <c r="AE505" s="2"/>
      <c r="AF505" s="2"/>
      <c r="AG505" s="2"/>
      <c r="AH505" s="2"/>
      <c r="AI505" s="2"/>
      <c r="AJ505" s="2"/>
      <c r="AK505" s="2"/>
    </row>
    <row r="506" spans="2:37">
      <c r="B506" s="2"/>
      <c r="C506" s="2"/>
      <c r="D506" s="159"/>
      <c r="E506" s="2"/>
      <c r="F506" s="159"/>
      <c r="G506" s="2"/>
      <c r="H506" s="2"/>
      <c r="I506" s="159"/>
      <c r="J506" s="2"/>
      <c r="K506" s="2"/>
      <c r="L506" s="2"/>
      <c r="M506" s="2"/>
      <c r="N506" s="2"/>
      <c r="O506" s="2"/>
      <c r="P506" s="2"/>
      <c r="Q506" s="2"/>
      <c r="R506" s="2"/>
      <c r="S506" s="2"/>
      <c r="T506" s="2"/>
      <c r="U506" s="2"/>
      <c r="V506" s="2"/>
      <c r="W506" s="2"/>
      <c r="X506" s="2"/>
      <c r="Y506" s="2"/>
      <c r="Z506" s="2"/>
      <c r="AA506" s="2"/>
      <c r="AB506" s="2"/>
      <c r="AC506" s="2"/>
      <c r="AD506" s="2"/>
      <c r="AE506" s="2"/>
      <c r="AF506" s="2"/>
      <c r="AG506" s="2"/>
      <c r="AH506" s="2"/>
      <c r="AI506" s="2"/>
      <c r="AJ506" s="2"/>
      <c r="AK506" s="2"/>
    </row>
    <row r="507" spans="2:37">
      <c r="B507" s="2"/>
      <c r="C507" s="2"/>
      <c r="D507" s="159"/>
      <c r="E507" s="2"/>
      <c r="F507" s="159"/>
      <c r="G507" s="2"/>
      <c r="H507" s="2"/>
      <c r="I507" s="159"/>
      <c r="J507" s="2"/>
      <c r="K507" s="2"/>
      <c r="L507" s="2"/>
      <c r="M507" s="2"/>
      <c r="N507" s="2"/>
      <c r="O507" s="2"/>
      <c r="P507" s="2"/>
      <c r="Q507" s="2"/>
      <c r="R507" s="2"/>
      <c r="S507" s="2"/>
      <c r="T507" s="2"/>
      <c r="U507" s="2"/>
      <c r="V507" s="2"/>
      <c r="W507" s="2"/>
      <c r="X507" s="2"/>
      <c r="Y507" s="2"/>
      <c r="Z507" s="2"/>
      <c r="AA507" s="2"/>
      <c r="AB507" s="2"/>
      <c r="AC507" s="2"/>
      <c r="AD507" s="2"/>
      <c r="AE507" s="2"/>
      <c r="AF507" s="2"/>
      <c r="AG507" s="2"/>
      <c r="AH507" s="2"/>
      <c r="AI507" s="2"/>
      <c r="AJ507" s="2"/>
      <c r="AK507" s="2"/>
    </row>
    <row r="508" spans="2:37">
      <c r="B508" s="2"/>
      <c r="C508" s="2"/>
      <c r="D508" s="159"/>
      <c r="E508" s="2"/>
      <c r="F508" s="159"/>
      <c r="G508" s="2"/>
      <c r="H508" s="2"/>
      <c r="I508" s="159"/>
      <c r="J508" s="2"/>
      <c r="K508" s="2"/>
      <c r="L508" s="2"/>
      <c r="M508" s="2"/>
      <c r="N508" s="2"/>
      <c r="O508" s="2"/>
      <c r="P508" s="2"/>
      <c r="Q508" s="2"/>
      <c r="R508" s="2"/>
      <c r="S508" s="2"/>
      <c r="T508" s="2"/>
      <c r="U508" s="2"/>
      <c r="V508" s="2"/>
      <c r="W508" s="2"/>
      <c r="X508" s="2"/>
      <c r="Y508" s="2"/>
      <c r="Z508" s="2"/>
      <c r="AA508" s="2"/>
      <c r="AB508" s="2"/>
      <c r="AC508" s="2"/>
      <c r="AD508" s="2"/>
      <c r="AE508" s="2"/>
      <c r="AF508" s="2"/>
      <c r="AG508" s="2"/>
      <c r="AH508" s="2"/>
      <c r="AI508" s="2"/>
      <c r="AJ508" s="2"/>
      <c r="AK508" s="2"/>
    </row>
    <row r="509" spans="2:37" ht="18">
      <c r="B509" s="316" t="s">
        <v>74</v>
      </c>
      <c r="C509" s="143"/>
      <c r="D509" s="143"/>
      <c r="E509" s="143"/>
      <c r="F509" s="144"/>
      <c r="G509" s="144"/>
      <c r="H509" s="144"/>
      <c r="I509" s="143"/>
      <c r="J509" s="143"/>
      <c r="K509" s="377"/>
      <c r="L509" s="143"/>
      <c r="M509" s="2"/>
      <c r="N509" s="2"/>
      <c r="O509" s="2"/>
      <c r="P509" s="2"/>
      <c r="Q509" s="2"/>
      <c r="R509" s="2"/>
      <c r="S509" s="2"/>
      <c r="T509" s="2"/>
      <c r="U509" s="2"/>
      <c r="V509" s="2"/>
      <c r="W509" s="2"/>
      <c r="X509" s="2"/>
      <c r="Y509" s="2"/>
      <c r="Z509" s="2"/>
      <c r="AA509" s="2"/>
      <c r="AB509" s="2"/>
      <c r="AC509" s="2"/>
      <c r="AD509" s="2"/>
      <c r="AE509" s="2"/>
      <c r="AF509" s="2"/>
      <c r="AG509" s="2"/>
      <c r="AH509" s="2"/>
      <c r="AI509" s="2"/>
      <c r="AJ509" s="2"/>
      <c r="AK509" s="2"/>
    </row>
    <row r="510" spans="2:37">
      <c r="B510" s="2"/>
      <c r="C510" s="378" t="s">
        <v>1</v>
      </c>
      <c r="D510" s="379"/>
      <c r="E510" s="4"/>
      <c r="F510" s="379"/>
      <c r="G510" s="380"/>
      <c r="H510" s="4"/>
      <c r="I510" s="317"/>
      <c r="J510" s="380"/>
      <c r="K510" s="2"/>
      <c r="L510" s="2"/>
      <c r="M510" s="2"/>
      <c r="N510" s="2"/>
      <c r="O510" s="2"/>
      <c r="P510" s="2"/>
      <c r="Q510" s="2"/>
      <c r="R510" s="2"/>
      <c r="S510" s="2"/>
      <c r="T510" s="2"/>
      <c r="U510" s="2"/>
      <c r="V510" s="2"/>
      <c r="W510" s="2"/>
      <c r="X510" s="2"/>
      <c r="Y510" s="2"/>
      <c r="Z510" s="2"/>
      <c r="AA510" s="2"/>
      <c r="AB510" s="2"/>
      <c r="AC510" s="2"/>
      <c r="AD510" s="2"/>
      <c r="AE510" s="2"/>
      <c r="AF510" s="2"/>
      <c r="AG510" s="2"/>
      <c r="AH510" s="2"/>
      <c r="AI510" s="2"/>
      <c r="AJ510" s="2"/>
      <c r="AK510" s="2"/>
    </row>
    <row r="511" spans="2:37">
      <c r="B511" s="2"/>
      <c r="C511" s="43"/>
      <c r="D511" s="381" t="str">
        <f>D4</f>
        <v>2023-2024</v>
      </c>
      <c r="E511" s="43"/>
      <c r="F511" s="740" t="str">
        <f>F4</f>
        <v>2024-2025</v>
      </c>
      <c r="G511" s="741"/>
      <c r="H511" s="319" t="s">
        <v>2</v>
      </c>
      <c r="J511" s="740" t="str">
        <f>I4</f>
        <v>2025-2026</v>
      </c>
      <c r="K511" s="741"/>
      <c r="L511" s="320" t="s">
        <v>2</v>
      </c>
      <c r="M511" s="2"/>
      <c r="N511" s="2"/>
      <c r="O511" s="2"/>
      <c r="P511" s="2"/>
      <c r="Q511" s="2"/>
      <c r="R511" s="2"/>
      <c r="S511" s="2"/>
      <c r="T511" s="2"/>
      <c r="U511" s="2"/>
      <c r="V511" s="2"/>
      <c r="W511" s="2"/>
      <c r="X511" s="2"/>
      <c r="Y511" s="2"/>
      <c r="Z511" s="2"/>
      <c r="AA511" s="2"/>
      <c r="AB511" s="2"/>
      <c r="AC511" s="2"/>
      <c r="AD511" s="2"/>
      <c r="AE511" s="2"/>
      <c r="AF511" s="2"/>
      <c r="AG511" s="2"/>
      <c r="AH511" s="2"/>
      <c r="AI511" s="2"/>
      <c r="AJ511" s="2"/>
      <c r="AK511" s="2"/>
    </row>
    <row r="512" spans="2:37">
      <c r="B512" s="2"/>
      <c r="C512" s="301" t="s">
        <v>4</v>
      </c>
      <c r="D512" s="323" t="s">
        <v>5</v>
      </c>
      <c r="E512" s="43"/>
      <c r="F512" s="736" t="s">
        <v>5</v>
      </c>
      <c r="G512" s="737"/>
      <c r="H512" s="322" t="s">
        <v>144</v>
      </c>
      <c r="J512" s="736" t="s">
        <v>6</v>
      </c>
      <c r="K512" s="737"/>
      <c r="L512" s="323" t="s">
        <v>144</v>
      </c>
      <c r="M512" s="2"/>
      <c r="N512" s="2"/>
      <c r="O512" s="2"/>
      <c r="P512" s="2"/>
      <c r="Q512" s="2"/>
      <c r="R512" s="2"/>
      <c r="S512" s="2"/>
      <c r="T512" s="2"/>
      <c r="U512" s="2"/>
      <c r="V512" s="2"/>
      <c r="W512" s="2"/>
      <c r="X512" s="2"/>
      <c r="Y512" s="2"/>
      <c r="Z512" s="2"/>
      <c r="AA512" s="2"/>
      <c r="AB512" s="2"/>
      <c r="AC512" s="2"/>
      <c r="AD512" s="2"/>
      <c r="AE512" s="2"/>
      <c r="AF512" s="2"/>
      <c r="AG512" s="2"/>
      <c r="AH512" s="2"/>
      <c r="AI512" s="2"/>
      <c r="AJ512" s="2"/>
      <c r="AK512" s="2"/>
    </row>
    <row r="513" spans="2:37" ht="16.5" hidden="1" customHeight="1">
      <c r="B513" s="45"/>
      <c r="C513" s="45"/>
      <c r="D513" s="382"/>
      <c r="E513" s="327"/>
      <c r="F513" s="383"/>
      <c r="G513" s="384"/>
      <c r="H513" s="385"/>
      <c r="J513" s="383"/>
      <c r="K513" s="384"/>
      <c r="L513" s="385"/>
      <c r="M513" s="2"/>
      <c r="N513" s="2"/>
      <c r="O513" s="2"/>
      <c r="P513" s="2"/>
      <c r="Q513" s="2"/>
      <c r="R513" s="2"/>
      <c r="S513" s="2"/>
      <c r="T513" s="2"/>
      <c r="U513" s="2"/>
      <c r="V513" s="2"/>
      <c r="W513" s="2"/>
      <c r="X513" s="2"/>
      <c r="Y513" s="2"/>
      <c r="Z513" s="2"/>
      <c r="AA513" s="2"/>
      <c r="AB513" s="2"/>
      <c r="AC513" s="2"/>
      <c r="AD513" s="2"/>
      <c r="AE513" s="2"/>
      <c r="AF513" s="2"/>
      <c r="AG513" s="2"/>
      <c r="AH513" s="2"/>
      <c r="AI513" s="2"/>
      <c r="AJ513" s="2"/>
      <c r="AK513" s="2"/>
    </row>
    <row r="514" spans="2:37">
      <c r="B514" s="324" t="s">
        <v>34</v>
      </c>
      <c r="C514" s="325"/>
      <c r="D514" s="326">
        <f>SUM([1]C06!$C$103:$C$117)</f>
        <v>87637</v>
      </c>
      <c r="E514" s="327"/>
      <c r="F514" s="747">
        <f>SUM([1]C06!$D$103:$D$117)</f>
        <v>58593</v>
      </c>
      <c r="G514" s="732"/>
      <c r="H514" s="328">
        <f t="shared" ref="H514:H548" si="72">IF(D514=0,0,((F514-D514)/D514))</f>
        <v>-0.33</v>
      </c>
      <c r="J514" s="747">
        <f>SUM([1]C06!$E$103:$E$117)</f>
        <v>114500</v>
      </c>
      <c r="K514" s="732"/>
      <c r="L514" s="328">
        <f t="shared" ref="L514:L535" si="73">IF(F514=0,0,((J514-F514)/F514))</f>
        <v>0.95</v>
      </c>
      <c r="M514" s="2"/>
      <c r="N514" s="2"/>
      <c r="O514" s="2"/>
      <c r="P514" s="2"/>
      <c r="Q514" s="2"/>
      <c r="R514" s="2"/>
      <c r="S514" s="2"/>
      <c r="T514" s="2"/>
      <c r="U514" s="2"/>
      <c r="V514" s="2"/>
      <c r="W514" s="2"/>
      <c r="X514" s="2"/>
      <c r="Y514" s="2"/>
      <c r="Z514" s="2"/>
      <c r="AA514" s="2"/>
      <c r="AB514" s="2"/>
      <c r="AC514" s="2"/>
      <c r="AD514" s="2"/>
      <c r="AE514" s="2"/>
      <c r="AF514" s="2"/>
      <c r="AG514" s="2"/>
      <c r="AH514" s="2"/>
      <c r="AI514" s="2"/>
      <c r="AJ514" s="2"/>
      <c r="AK514" s="2"/>
    </row>
    <row r="515" spans="2:37" ht="16.5" customHeight="1">
      <c r="B515" s="44" t="s">
        <v>36</v>
      </c>
      <c r="C515" s="44"/>
      <c r="D515" s="329">
        <f>SUM([1]C07!$C$97:$C$111)</f>
        <v>3115</v>
      </c>
      <c r="E515" s="327"/>
      <c r="F515" s="671">
        <f>SUM([1]C07!$D$97:$D$111)</f>
        <v>1292</v>
      </c>
      <c r="G515" s="653"/>
      <c r="H515" s="330">
        <f t="shared" si="72"/>
        <v>-0.59</v>
      </c>
      <c r="J515" s="671">
        <f>SUM([1]C07!$E$97:$E$111)</f>
        <v>0</v>
      </c>
      <c r="K515" s="653"/>
      <c r="L515" s="330">
        <f t="shared" si="73"/>
        <v>-1</v>
      </c>
      <c r="M515" s="2"/>
      <c r="N515" s="2"/>
      <c r="O515" s="2"/>
      <c r="P515" s="2"/>
      <c r="Q515" s="2"/>
      <c r="R515" s="2"/>
      <c r="S515" s="2"/>
      <c r="T515" s="2"/>
      <c r="U515" s="2"/>
      <c r="V515" s="2"/>
      <c r="W515" s="2"/>
      <c r="X515" s="2"/>
      <c r="Y515" s="2"/>
      <c r="Z515" s="2"/>
      <c r="AA515" s="2"/>
      <c r="AB515" s="2"/>
      <c r="AC515" s="2"/>
      <c r="AD515" s="2"/>
      <c r="AE515" s="2"/>
      <c r="AF515" s="2"/>
      <c r="AG515" s="2"/>
      <c r="AH515" s="2"/>
      <c r="AI515" s="2"/>
      <c r="AJ515" s="2"/>
      <c r="AK515" s="2"/>
    </row>
    <row r="516" spans="2:37">
      <c r="B516" s="324" t="s">
        <v>35</v>
      </c>
      <c r="C516" s="324"/>
      <c r="D516" s="331">
        <f>SUM([1]C08!$C$108:$C$122)</f>
        <v>33691</v>
      </c>
      <c r="E516" s="327"/>
      <c r="F516" s="656">
        <f>SUM([1]C08!$D$108:$D$122)</f>
        <v>50713</v>
      </c>
      <c r="G516" s="655"/>
      <c r="H516" s="332">
        <f t="shared" si="72"/>
        <v>0.51</v>
      </c>
      <c r="J516" s="656">
        <f>SUM([1]C08!$E$108:$E$122)</f>
        <v>21600</v>
      </c>
      <c r="K516" s="655"/>
      <c r="L516" s="332">
        <f t="shared" si="73"/>
        <v>-0.56999999999999995</v>
      </c>
      <c r="M516" s="2"/>
      <c r="N516" s="2"/>
      <c r="O516" s="2"/>
      <c r="P516" s="2"/>
      <c r="Q516" s="2"/>
      <c r="R516" s="2"/>
      <c r="S516" s="2"/>
      <c r="T516" s="2"/>
      <c r="U516" s="2"/>
      <c r="V516" s="2"/>
      <c r="W516" s="2"/>
      <c r="X516" s="2"/>
      <c r="Y516" s="2"/>
      <c r="Z516" s="2"/>
      <c r="AA516" s="2"/>
      <c r="AB516" s="2"/>
      <c r="AC516" s="2"/>
      <c r="AD516" s="2"/>
      <c r="AE516" s="2"/>
      <c r="AF516" s="2"/>
      <c r="AG516" s="2"/>
      <c r="AH516" s="2"/>
      <c r="AI516" s="2"/>
      <c r="AJ516" s="2"/>
      <c r="AK516" s="2"/>
    </row>
    <row r="517" spans="2:37">
      <c r="B517" s="1" t="s">
        <v>140</v>
      </c>
      <c r="C517" s="333"/>
      <c r="D517" s="336">
        <v>0</v>
      </c>
      <c r="E517" s="327"/>
      <c r="F517" s="652">
        <v>0</v>
      </c>
      <c r="G517" s="653"/>
      <c r="H517" s="330">
        <f t="shared" si="72"/>
        <v>0</v>
      </c>
      <c r="J517" s="733">
        <v>0</v>
      </c>
      <c r="K517" s="673"/>
      <c r="L517" s="330">
        <f t="shared" si="73"/>
        <v>0</v>
      </c>
      <c r="M517" s="2"/>
      <c r="N517" s="2"/>
      <c r="O517" s="2"/>
      <c r="P517" s="2"/>
      <c r="Q517" s="2"/>
      <c r="R517" s="2"/>
      <c r="S517" s="2"/>
      <c r="T517" s="2"/>
      <c r="U517" s="2"/>
      <c r="V517" s="2"/>
      <c r="W517" s="2"/>
      <c r="X517" s="2"/>
      <c r="Y517" s="2"/>
      <c r="Z517" s="2"/>
      <c r="AA517" s="2"/>
      <c r="AB517" s="2"/>
      <c r="AC517" s="2"/>
      <c r="AD517" s="2"/>
      <c r="AE517" s="2"/>
      <c r="AF517" s="2"/>
      <c r="AG517" s="2"/>
      <c r="AH517" s="2"/>
      <c r="AI517" s="2"/>
      <c r="AJ517" s="2"/>
      <c r="AK517" s="2"/>
    </row>
    <row r="518" spans="2:37">
      <c r="B518" s="324" t="s">
        <v>277</v>
      </c>
      <c r="C518" s="335"/>
      <c r="D518" s="339">
        <v>0</v>
      </c>
      <c r="E518" s="327"/>
      <c r="F518" s="654">
        <v>0</v>
      </c>
      <c r="G518" s="655"/>
      <c r="H518" s="332">
        <f t="shared" si="72"/>
        <v>0</v>
      </c>
      <c r="J518" s="734">
        <v>0</v>
      </c>
      <c r="K518" s="675"/>
      <c r="L518" s="332">
        <f t="shared" si="73"/>
        <v>0</v>
      </c>
      <c r="M518" s="2"/>
      <c r="N518" s="2"/>
      <c r="O518" s="2"/>
      <c r="P518" s="2"/>
      <c r="Q518" s="2"/>
      <c r="R518" s="2"/>
      <c r="S518" s="2"/>
      <c r="T518" s="2"/>
      <c r="U518" s="2"/>
      <c r="V518" s="2"/>
      <c r="W518" s="2"/>
      <c r="X518" s="2"/>
      <c r="Y518" s="2"/>
      <c r="Z518" s="2"/>
      <c r="AA518" s="2"/>
      <c r="AB518" s="2"/>
      <c r="AC518" s="2"/>
      <c r="AD518" s="2"/>
      <c r="AE518" s="2"/>
      <c r="AF518" s="2"/>
      <c r="AG518" s="2"/>
      <c r="AH518" s="2"/>
      <c r="AI518" s="2"/>
      <c r="AJ518" s="2"/>
      <c r="AK518" s="2"/>
    </row>
    <row r="519" spans="2:37">
      <c r="B519" s="1" t="s">
        <v>39</v>
      </c>
      <c r="C519" s="1">
        <v>14</v>
      </c>
      <c r="D519" s="336">
        <v>0</v>
      </c>
      <c r="E519" s="327"/>
      <c r="F519" s="652">
        <v>0</v>
      </c>
      <c r="G519" s="653"/>
      <c r="H519" s="330">
        <f t="shared" si="72"/>
        <v>0</v>
      </c>
      <c r="J519" s="652">
        <v>0</v>
      </c>
      <c r="K519" s="653"/>
      <c r="L519" s="330">
        <f t="shared" si="73"/>
        <v>0</v>
      </c>
      <c r="M519" s="2"/>
      <c r="N519" s="2"/>
      <c r="O519" s="2"/>
      <c r="P519" s="2"/>
      <c r="Q519" s="2"/>
      <c r="R519" s="2"/>
      <c r="S519" s="2"/>
      <c r="T519" s="2"/>
      <c r="U519" s="2"/>
      <c r="V519" s="2"/>
      <c r="W519" s="2"/>
      <c r="X519" s="2"/>
      <c r="Y519" s="2"/>
      <c r="Z519" s="2"/>
      <c r="AA519" s="2"/>
      <c r="AB519" s="2"/>
      <c r="AC519" s="2"/>
      <c r="AD519" s="2"/>
      <c r="AE519" s="2"/>
      <c r="AF519" s="2"/>
      <c r="AG519" s="2"/>
      <c r="AH519" s="2"/>
      <c r="AI519" s="2"/>
      <c r="AJ519" s="2"/>
      <c r="AK519" s="2"/>
    </row>
    <row r="520" spans="2:37">
      <c r="B520" s="324" t="s">
        <v>40</v>
      </c>
      <c r="C520" s="324"/>
      <c r="D520" s="339">
        <v>0</v>
      </c>
      <c r="E520" s="327"/>
      <c r="F520" s="654">
        <v>0</v>
      </c>
      <c r="G520" s="655"/>
      <c r="H520" s="332">
        <f t="shared" si="72"/>
        <v>0</v>
      </c>
      <c r="J520" s="654">
        <v>0</v>
      </c>
      <c r="K520" s="655"/>
      <c r="L520" s="332">
        <f t="shared" si="73"/>
        <v>0</v>
      </c>
      <c r="M520" s="2"/>
      <c r="N520" s="2"/>
      <c r="O520" s="2"/>
      <c r="P520" s="2"/>
      <c r="Q520" s="2"/>
      <c r="R520" s="2"/>
      <c r="S520" s="2"/>
      <c r="T520" s="2"/>
      <c r="U520" s="2"/>
      <c r="V520" s="2"/>
      <c r="W520" s="2"/>
      <c r="X520" s="2"/>
      <c r="Y520" s="2"/>
      <c r="Z520" s="2"/>
      <c r="AA520" s="2"/>
      <c r="AB520" s="2"/>
      <c r="AC520" s="2"/>
      <c r="AD520" s="2"/>
      <c r="AE520" s="2"/>
      <c r="AF520" s="2"/>
      <c r="AG520" s="2"/>
      <c r="AH520" s="2"/>
      <c r="AI520" s="2"/>
      <c r="AJ520" s="2"/>
      <c r="AK520" s="2"/>
    </row>
    <row r="521" spans="2:37">
      <c r="B521" s="1" t="s">
        <v>41</v>
      </c>
      <c r="C521" s="1"/>
      <c r="D521" s="334">
        <f>SUM([1]C016!$C$71:$C$72)</f>
        <v>0</v>
      </c>
      <c r="E521" s="327"/>
      <c r="F521" s="671">
        <f>SUM([1]C016!$D$71:$D$72)</f>
        <v>0</v>
      </c>
      <c r="G521" s="653"/>
      <c r="H521" s="330">
        <f t="shared" si="72"/>
        <v>0</v>
      </c>
      <c r="J521" s="671">
        <f>SUM([1]C016!$E$71:$E$72)</f>
        <v>0</v>
      </c>
      <c r="K521" s="653"/>
      <c r="L521" s="330">
        <f t="shared" si="73"/>
        <v>0</v>
      </c>
      <c r="M521" s="2"/>
      <c r="N521" s="2"/>
      <c r="O521" s="2"/>
      <c r="P521" s="2"/>
      <c r="Q521" s="2"/>
      <c r="R521" s="2"/>
      <c r="S521" s="2"/>
      <c r="T521" s="2"/>
      <c r="U521" s="2"/>
      <c r="V521" s="2"/>
      <c r="W521" s="2"/>
      <c r="X521" s="2"/>
      <c r="Y521" s="2"/>
      <c r="Z521" s="2"/>
      <c r="AA521" s="2"/>
      <c r="AB521" s="2"/>
      <c r="AC521" s="2"/>
      <c r="AD521" s="2"/>
      <c r="AE521" s="2"/>
      <c r="AF521" s="2"/>
      <c r="AG521" s="2"/>
      <c r="AH521" s="2"/>
      <c r="AI521" s="2"/>
      <c r="AJ521" s="2"/>
      <c r="AK521" s="2"/>
    </row>
    <row r="522" spans="2:37">
      <c r="B522" s="324" t="s">
        <v>70</v>
      </c>
      <c r="C522" s="324">
        <v>18</v>
      </c>
      <c r="D522" s="339">
        <v>0</v>
      </c>
      <c r="E522" s="327"/>
      <c r="F522" s="654">
        <v>0</v>
      </c>
      <c r="G522" s="655"/>
      <c r="H522" s="332">
        <f t="shared" si="72"/>
        <v>0</v>
      </c>
      <c r="J522" s="654">
        <v>0</v>
      </c>
      <c r="K522" s="655"/>
      <c r="L522" s="332">
        <f t="shared" si="73"/>
        <v>0</v>
      </c>
      <c r="M522" s="2"/>
      <c r="N522" s="2"/>
      <c r="O522" s="2"/>
      <c r="P522" s="2"/>
      <c r="Q522" s="2"/>
      <c r="R522" s="2"/>
      <c r="S522" s="2"/>
      <c r="T522" s="2"/>
      <c r="U522" s="2"/>
      <c r="V522" s="2"/>
      <c r="W522" s="2"/>
      <c r="X522" s="2"/>
      <c r="Y522" s="2"/>
      <c r="Z522" s="2"/>
      <c r="AA522" s="2"/>
      <c r="AB522" s="2"/>
      <c r="AC522" s="2"/>
      <c r="AD522" s="2"/>
      <c r="AE522" s="2"/>
      <c r="AF522" s="2"/>
      <c r="AG522" s="2"/>
      <c r="AH522" s="2"/>
      <c r="AI522" s="2"/>
      <c r="AJ522" s="2"/>
      <c r="AK522" s="2"/>
    </row>
    <row r="523" spans="2:37">
      <c r="B523" s="1" t="s">
        <v>43</v>
      </c>
      <c r="C523" s="1"/>
      <c r="D523" s="336">
        <v>0</v>
      </c>
      <c r="E523" s="327"/>
      <c r="F523" s="652">
        <v>0</v>
      </c>
      <c r="G523" s="653"/>
      <c r="H523" s="330">
        <f t="shared" si="72"/>
        <v>0</v>
      </c>
      <c r="J523" s="652">
        <v>0</v>
      </c>
      <c r="K523" s="653"/>
      <c r="L523" s="330">
        <f t="shared" si="73"/>
        <v>0</v>
      </c>
      <c r="M523" s="2"/>
      <c r="N523" s="2"/>
      <c r="O523" s="2"/>
      <c r="P523" s="2"/>
      <c r="Q523" s="2"/>
      <c r="R523" s="2"/>
      <c r="S523" s="2"/>
      <c r="T523" s="2"/>
      <c r="U523" s="2"/>
      <c r="V523" s="2"/>
      <c r="W523" s="2"/>
      <c r="X523" s="2"/>
      <c r="Y523" s="2"/>
      <c r="Z523" s="2"/>
      <c r="AA523" s="2"/>
      <c r="AB523" s="2"/>
      <c r="AC523" s="2"/>
      <c r="AD523" s="2"/>
      <c r="AE523" s="2"/>
      <c r="AF523" s="2"/>
      <c r="AG523" s="2"/>
      <c r="AH523" s="2"/>
      <c r="AI523" s="2"/>
      <c r="AJ523" s="2"/>
      <c r="AK523" s="2"/>
    </row>
    <row r="524" spans="2:37">
      <c r="B524" s="324" t="s">
        <v>44</v>
      </c>
      <c r="C524" s="324"/>
      <c r="D524" s="339">
        <v>0</v>
      </c>
      <c r="E524" s="327"/>
      <c r="F524" s="654">
        <v>0</v>
      </c>
      <c r="G524" s="655"/>
      <c r="H524" s="332">
        <f t="shared" si="72"/>
        <v>0</v>
      </c>
      <c r="J524" s="654">
        <v>0</v>
      </c>
      <c r="K524" s="655"/>
      <c r="L524" s="332">
        <f t="shared" si="73"/>
        <v>0</v>
      </c>
      <c r="M524" s="2"/>
      <c r="N524" s="2"/>
      <c r="O524" s="2"/>
      <c r="P524" s="2"/>
      <c r="Q524" s="2"/>
      <c r="R524" s="2"/>
      <c r="S524" s="2"/>
      <c r="T524" s="2"/>
      <c r="U524" s="2"/>
      <c r="V524" s="2"/>
      <c r="W524" s="2"/>
      <c r="X524" s="2"/>
      <c r="Y524" s="2"/>
      <c r="Z524" s="2"/>
      <c r="AA524" s="2"/>
      <c r="AB524" s="2"/>
      <c r="AC524" s="2"/>
      <c r="AD524" s="2"/>
      <c r="AE524" s="2"/>
      <c r="AF524" s="2"/>
      <c r="AG524" s="2"/>
      <c r="AH524" s="2"/>
      <c r="AI524" s="2"/>
      <c r="AJ524" s="2"/>
      <c r="AK524" s="2"/>
    </row>
    <row r="525" spans="2:37">
      <c r="B525" s="1" t="s">
        <v>45</v>
      </c>
      <c r="C525" s="337">
        <v>24</v>
      </c>
      <c r="D525" s="336">
        <v>0</v>
      </c>
      <c r="E525" s="327"/>
      <c r="F525" s="652">
        <v>0</v>
      </c>
      <c r="G525" s="653"/>
      <c r="H525" s="330">
        <f t="shared" si="72"/>
        <v>0</v>
      </c>
      <c r="J525" s="652">
        <v>0</v>
      </c>
      <c r="K525" s="653"/>
      <c r="L525" s="330">
        <f t="shared" si="73"/>
        <v>0</v>
      </c>
      <c r="M525" s="2"/>
      <c r="N525" s="2"/>
      <c r="O525" s="2"/>
      <c r="P525" s="2"/>
      <c r="Q525" s="2"/>
      <c r="R525" s="2"/>
      <c r="S525" s="2"/>
      <c r="T525" s="2"/>
      <c r="U525" s="2"/>
      <c r="V525" s="2"/>
      <c r="W525" s="2"/>
      <c r="X525" s="2"/>
      <c r="Y525" s="2"/>
      <c r="Z525" s="2"/>
      <c r="AA525" s="2"/>
      <c r="AB525" s="2"/>
      <c r="AC525" s="2"/>
      <c r="AD525" s="2"/>
      <c r="AE525" s="2"/>
      <c r="AF525" s="2"/>
      <c r="AG525" s="2"/>
      <c r="AH525" s="2"/>
      <c r="AI525" s="2"/>
      <c r="AJ525" s="2"/>
      <c r="AK525" s="2"/>
    </row>
    <row r="526" spans="2:37">
      <c r="B526" s="324" t="s">
        <v>46</v>
      </c>
      <c r="C526" s="338">
        <v>26</v>
      </c>
      <c r="D526" s="339">
        <v>0</v>
      </c>
      <c r="E526" s="327"/>
      <c r="F526" s="654">
        <v>0</v>
      </c>
      <c r="G526" s="655"/>
      <c r="H526" s="332">
        <f t="shared" si="72"/>
        <v>0</v>
      </c>
      <c r="J526" s="654">
        <v>0</v>
      </c>
      <c r="K526" s="655"/>
      <c r="L526" s="332">
        <f t="shared" si="73"/>
        <v>0</v>
      </c>
      <c r="M526" s="2"/>
      <c r="N526" s="2"/>
      <c r="O526" s="2"/>
      <c r="P526" s="2"/>
      <c r="Q526" s="2"/>
      <c r="R526" s="2"/>
      <c r="S526" s="2"/>
      <c r="T526" s="2"/>
      <c r="U526" s="2"/>
      <c r="V526" s="2"/>
      <c r="W526" s="2"/>
      <c r="X526" s="2"/>
      <c r="Y526" s="2"/>
      <c r="Z526" s="2"/>
      <c r="AA526" s="2"/>
      <c r="AB526" s="2"/>
      <c r="AC526" s="2"/>
      <c r="AD526" s="2"/>
      <c r="AE526" s="2"/>
      <c r="AF526" s="2"/>
      <c r="AG526" s="2"/>
      <c r="AH526" s="2"/>
      <c r="AI526" s="2"/>
      <c r="AJ526" s="2"/>
      <c r="AK526" s="2"/>
    </row>
    <row r="527" spans="2:37">
      <c r="B527" s="1" t="s">
        <v>47</v>
      </c>
      <c r="C527" s="337">
        <v>28</v>
      </c>
      <c r="D527" s="336">
        <v>0</v>
      </c>
      <c r="E527" s="327"/>
      <c r="F527" s="652">
        <v>0</v>
      </c>
      <c r="G527" s="653"/>
      <c r="H527" s="330">
        <f t="shared" si="72"/>
        <v>0</v>
      </c>
      <c r="J527" s="652">
        <v>0</v>
      </c>
      <c r="K527" s="653"/>
      <c r="L527" s="330">
        <f t="shared" si="73"/>
        <v>0</v>
      </c>
      <c r="M527" s="2"/>
      <c r="N527" s="2"/>
      <c r="O527" s="2"/>
      <c r="P527" s="2"/>
      <c r="Q527" s="2"/>
      <c r="R527" s="2"/>
      <c r="S527" s="2"/>
      <c r="T527" s="2"/>
      <c r="U527" s="2"/>
      <c r="V527" s="2"/>
      <c r="W527" s="2"/>
      <c r="X527" s="2"/>
      <c r="Y527" s="2"/>
      <c r="Z527" s="2"/>
      <c r="AA527" s="2"/>
      <c r="AB527" s="2"/>
      <c r="AC527" s="2"/>
      <c r="AD527" s="2"/>
      <c r="AE527" s="2"/>
      <c r="AF527" s="2"/>
      <c r="AG527" s="2"/>
      <c r="AH527" s="2"/>
      <c r="AI527" s="2"/>
      <c r="AJ527" s="2"/>
      <c r="AK527" s="2"/>
    </row>
    <row r="528" spans="2:37">
      <c r="B528" s="324" t="s">
        <v>48</v>
      </c>
      <c r="C528" s="338"/>
      <c r="D528" s="339">
        <v>0</v>
      </c>
      <c r="E528" s="327"/>
      <c r="F528" s="654">
        <v>0</v>
      </c>
      <c r="G528" s="655"/>
      <c r="H528" s="332">
        <f t="shared" si="72"/>
        <v>0</v>
      </c>
      <c r="J528" s="654">
        <v>0</v>
      </c>
      <c r="K528" s="655"/>
      <c r="L528" s="332">
        <f t="shared" si="73"/>
        <v>0</v>
      </c>
      <c r="M528" s="2"/>
      <c r="N528" s="2"/>
      <c r="O528" s="2"/>
      <c r="P528" s="2"/>
      <c r="Q528" s="2"/>
      <c r="R528" s="2"/>
      <c r="S528" s="2"/>
      <c r="T528" s="2"/>
      <c r="U528" s="2"/>
      <c r="V528" s="2"/>
      <c r="W528" s="2"/>
      <c r="X528" s="2"/>
      <c r="Y528" s="2"/>
      <c r="Z528" s="2"/>
      <c r="AA528" s="2"/>
      <c r="AB528" s="2"/>
      <c r="AC528" s="2"/>
      <c r="AD528" s="2"/>
      <c r="AE528" s="2"/>
      <c r="AF528" s="2"/>
      <c r="AG528" s="2"/>
      <c r="AH528" s="2"/>
      <c r="AI528" s="2"/>
      <c r="AJ528" s="2"/>
      <c r="AK528" s="2"/>
    </row>
    <row r="529" spans="2:37">
      <c r="B529" s="1" t="s">
        <v>37</v>
      </c>
      <c r="C529" s="337"/>
      <c r="D529" s="334">
        <f>SUM([1]C030!$C$104:$C$115)</f>
        <v>0</v>
      </c>
      <c r="E529" s="327"/>
      <c r="F529" s="671">
        <f>SUM([1]C030!$D$104:$D$115)</f>
        <v>0</v>
      </c>
      <c r="G529" s="653"/>
      <c r="H529" s="330">
        <f t="shared" si="72"/>
        <v>0</v>
      </c>
      <c r="J529" s="671">
        <f>SUM([1]C030!$E$104:$E$115)</f>
        <v>0</v>
      </c>
      <c r="K529" s="653"/>
      <c r="L529" s="330">
        <f t="shared" si="73"/>
        <v>0</v>
      </c>
      <c r="M529" s="2"/>
      <c r="N529" s="2"/>
      <c r="O529" s="2"/>
      <c r="P529" s="2"/>
      <c r="Q529" s="2"/>
      <c r="R529" s="2"/>
      <c r="S529" s="2"/>
      <c r="T529" s="2"/>
      <c r="U529" s="2"/>
      <c r="V529" s="2"/>
      <c r="W529" s="2"/>
      <c r="X529" s="2"/>
      <c r="Y529" s="2"/>
      <c r="Z529" s="2"/>
      <c r="AA529" s="2"/>
      <c r="AB529" s="2"/>
      <c r="AC529" s="2"/>
      <c r="AD529" s="2"/>
      <c r="AE529" s="2"/>
      <c r="AF529" s="2"/>
      <c r="AG529" s="2"/>
      <c r="AH529" s="2"/>
      <c r="AI529" s="2"/>
      <c r="AJ529" s="2"/>
      <c r="AK529" s="2"/>
    </row>
    <row r="530" spans="2:37">
      <c r="B530" s="324" t="s">
        <v>49</v>
      </c>
      <c r="C530" s="338"/>
      <c r="D530" s="339">
        <v>0</v>
      </c>
      <c r="E530" s="327"/>
      <c r="F530" s="654">
        <v>0</v>
      </c>
      <c r="G530" s="655"/>
      <c r="H530" s="332">
        <f t="shared" si="72"/>
        <v>0</v>
      </c>
      <c r="J530" s="654">
        <v>0</v>
      </c>
      <c r="K530" s="655"/>
      <c r="L530" s="332">
        <f t="shared" si="73"/>
        <v>0</v>
      </c>
      <c r="M530" s="2"/>
      <c r="N530" s="2"/>
      <c r="O530" s="2"/>
      <c r="P530" s="2"/>
      <c r="Q530" s="2"/>
      <c r="R530" s="2"/>
      <c r="S530" s="2"/>
      <c r="T530" s="2"/>
      <c r="U530" s="2"/>
      <c r="V530" s="2"/>
      <c r="W530" s="2"/>
      <c r="X530" s="2"/>
      <c r="Y530" s="2"/>
      <c r="Z530" s="2"/>
      <c r="AA530" s="2"/>
      <c r="AB530" s="2"/>
      <c r="AC530" s="2"/>
      <c r="AD530" s="2"/>
      <c r="AE530" s="2"/>
      <c r="AF530" s="2"/>
      <c r="AG530" s="2"/>
      <c r="AH530" s="2"/>
      <c r="AI530" s="2"/>
      <c r="AJ530" s="2"/>
      <c r="AK530" s="2"/>
    </row>
    <row r="531" spans="2:37">
      <c r="B531" s="370" t="str">
        <f>B338</f>
        <v>Career and Postsecondary Ed.</v>
      </c>
      <c r="C531" s="337"/>
      <c r="D531" s="336">
        <v>0</v>
      </c>
      <c r="E531" s="327"/>
      <c r="F531" s="652">
        <v>0</v>
      </c>
      <c r="G531" s="653"/>
      <c r="H531" s="330">
        <f t="shared" si="72"/>
        <v>0</v>
      </c>
      <c r="J531" s="652">
        <v>0</v>
      </c>
      <c r="K531" s="653"/>
      <c r="L531" s="330">
        <f t="shared" si="73"/>
        <v>0</v>
      </c>
      <c r="M531" s="2"/>
      <c r="N531" s="2"/>
      <c r="O531" s="2"/>
      <c r="P531" s="2"/>
      <c r="Q531" s="2"/>
      <c r="R531" s="2"/>
      <c r="S531" s="2"/>
      <c r="T531" s="2"/>
      <c r="U531" s="2"/>
      <c r="V531" s="2"/>
      <c r="W531" s="2"/>
      <c r="X531" s="2"/>
      <c r="Y531" s="2"/>
      <c r="Z531" s="2"/>
      <c r="AA531" s="2"/>
      <c r="AB531" s="2"/>
      <c r="AC531" s="2"/>
      <c r="AD531" s="2"/>
      <c r="AE531" s="2"/>
      <c r="AF531" s="2"/>
      <c r="AG531" s="2"/>
      <c r="AH531" s="2"/>
      <c r="AI531" s="2"/>
      <c r="AJ531" s="2"/>
      <c r="AK531" s="2"/>
    </row>
    <row r="532" spans="2:37" ht="15.75">
      <c r="B532" s="324" t="s">
        <v>178</v>
      </c>
      <c r="C532" s="338"/>
      <c r="D532" s="331">
        <f>SUM([1]C035!$C$108:$C$122)</f>
        <v>0</v>
      </c>
      <c r="E532" s="327"/>
      <c r="F532" s="656">
        <f>SUM([1]C035!$D$108:$D$122)</f>
        <v>830</v>
      </c>
      <c r="G532" s="655"/>
      <c r="H532" s="332">
        <f t="shared" si="72"/>
        <v>0</v>
      </c>
      <c r="J532" s="656">
        <f>SUM([1]C035!$E$108:$E$122)</f>
        <v>0</v>
      </c>
      <c r="K532" s="655"/>
      <c r="L532" s="332">
        <f t="shared" si="73"/>
        <v>-1</v>
      </c>
      <c r="M532" s="2"/>
      <c r="N532" s="2"/>
      <c r="O532" s="2"/>
      <c r="P532" s="2"/>
      <c r="Q532" s="2"/>
      <c r="R532" s="2"/>
      <c r="S532" s="2"/>
      <c r="T532" s="2"/>
      <c r="U532" s="2"/>
      <c r="V532" s="2"/>
      <c r="W532" s="2"/>
      <c r="X532" s="2"/>
      <c r="Y532" s="2"/>
      <c r="Z532" s="2"/>
      <c r="AA532" s="2"/>
      <c r="AB532" s="2"/>
      <c r="AC532" s="2"/>
      <c r="AD532" s="2"/>
      <c r="AE532" s="2"/>
      <c r="AF532" s="2"/>
      <c r="AG532" s="2"/>
      <c r="AH532" s="2"/>
      <c r="AI532" s="2"/>
      <c r="AJ532" s="2"/>
      <c r="AK532" s="2"/>
    </row>
    <row r="533" spans="2:37">
      <c r="B533" s="1" t="s">
        <v>75</v>
      </c>
      <c r="C533" s="337"/>
      <c r="D533" s="334">
        <f>SUM([1]C042!$C$43:$C$45)</f>
        <v>0</v>
      </c>
      <c r="E533" s="327"/>
      <c r="F533" s="671">
        <f>SUM([1]C042!$D$43:$D$45)</f>
        <v>0</v>
      </c>
      <c r="G533" s="653"/>
      <c r="H533" s="330">
        <f t="shared" si="72"/>
        <v>0</v>
      </c>
      <c r="J533" s="671">
        <f>SUM([1]C042!$E$43:$E$45)</f>
        <v>0</v>
      </c>
      <c r="K533" s="653"/>
      <c r="L533" s="330">
        <f t="shared" si="73"/>
        <v>0</v>
      </c>
      <c r="M533" s="2"/>
      <c r="N533" s="2"/>
      <c r="O533" s="2"/>
      <c r="P533" s="2"/>
      <c r="Q533" s="2"/>
      <c r="R533" s="2"/>
      <c r="S533" s="2"/>
      <c r="T533" s="2"/>
      <c r="U533" s="2"/>
      <c r="V533" s="2"/>
      <c r="W533" s="2"/>
      <c r="X533" s="2"/>
      <c r="Y533" s="2"/>
      <c r="Z533" s="2"/>
      <c r="AA533" s="2"/>
      <c r="AB533" s="2"/>
      <c r="AC533" s="2"/>
      <c r="AD533" s="2"/>
      <c r="AE533" s="2"/>
      <c r="AF533" s="2"/>
      <c r="AG533" s="2"/>
      <c r="AH533" s="2"/>
      <c r="AI533" s="2"/>
      <c r="AJ533" s="2"/>
      <c r="AK533" s="2"/>
    </row>
    <row r="534" spans="2:37">
      <c r="B534" s="324" t="s">
        <v>51</v>
      </c>
      <c r="C534" s="338">
        <v>44</v>
      </c>
      <c r="D534" s="339">
        <v>0</v>
      </c>
      <c r="E534" s="327"/>
      <c r="F534" s="654">
        <v>0</v>
      </c>
      <c r="G534" s="655"/>
      <c r="H534" s="332">
        <f t="shared" si="72"/>
        <v>0</v>
      </c>
      <c r="J534" s="654">
        <v>0</v>
      </c>
      <c r="K534" s="655"/>
      <c r="L534" s="332">
        <f t="shared" si="73"/>
        <v>0</v>
      </c>
      <c r="M534" s="2"/>
      <c r="N534" s="2"/>
      <c r="O534" s="2"/>
      <c r="P534" s="2"/>
      <c r="Q534" s="2"/>
      <c r="R534" s="2"/>
      <c r="S534" s="2"/>
      <c r="T534" s="2"/>
      <c r="U534" s="2"/>
      <c r="V534" s="2"/>
      <c r="W534" s="2"/>
      <c r="X534" s="2"/>
      <c r="Y534" s="2"/>
      <c r="Z534" s="2"/>
      <c r="AA534" s="2"/>
      <c r="AB534" s="2"/>
      <c r="AC534" s="2"/>
      <c r="AD534" s="2"/>
      <c r="AE534" s="2"/>
      <c r="AF534" s="2"/>
      <c r="AG534" s="2"/>
      <c r="AH534" s="2"/>
      <c r="AI534" s="2"/>
      <c r="AJ534" s="2"/>
      <c r="AK534" s="2"/>
    </row>
    <row r="535" spans="2:37">
      <c r="B535" s="45" t="s">
        <v>52</v>
      </c>
      <c r="C535" s="340">
        <v>45</v>
      </c>
      <c r="D535" s="341">
        <v>0</v>
      </c>
      <c r="E535" s="327"/>
      <c r="F535" s="652">
        <v>0</v>
      </c>
      <c r="G535" s="653"/>
      <c r="H535" s="330">
        <f t="shared" si="72"/>
        <v>0</v>
      </c>
      <c r="J535" s="652">
        <v>0</v>
      </c>
      <c r="K535" s="653"/>
      <c r="L535" s="330">
        <f t="shared" si="73"/>
        <v>0</v>
      </c>
      <c r="M535" s="2"/>
      <c r="N535" s="2"/>
      <c r="O535" s="2"/>
      <c r="P535" s="2"/>
      <c r="Q535" s="2"/>
      <c r="R535" s="2"/>
      <c r="S535" s="2"/>
      <c r="T535" s="2"/>
      <c r="U535" s="2"/>
      <c r="V535" s="2"/>
      <c r="W535" s="2"/>
      <c r="X535" s="2"/>
      <c r="Y535" s="2"/>
      <c r="Z535" s="2"/>
      <c r="AA535" s="2"/>
      <c r="AB535" s="2"/>
      <c r="AC535" s="2"/>
      <c r="AD535" s="2"/>
      <c r="AE535" s="2"/>
      <c r="AF535" s="2"/>
      <c r="AG535" s="2"/>
      <c r="AH535" s="2"/>
      <c r="AI535" s="2"/>
      <c r="AJ535" s="2"/>
      <c r="AK535" s="2"/>
    </row>
    <row r="536" spans="2:37">
      <c r="B536" s="342" t="s">
        <v>72</v>
      </c>
      <c r="C536" s="343">
        <v>46</v>
      </c>
      <c r="D536" s="344">
        <v>0</v>
      </c>
      <c r="E536" s="327"/>
      <c r="F536" s="654">
        <v>0</v>
      </c>
      <c r="G536" s="655"/>
      <c r="H536" s="332">
        <f t="shared" si="72"/>
        <v>0</v>
      </c>
      <c r="J536" s="676"/>
      <c r="K536" s="677"/>
      <c r="L536" s="345"/>
      <c r="M536" s="2"/>
      <c r="N536" s="2"/>
      <c r="O536" s="2"/>
      <c r="P536" s="2"/>
      <c r="Q536" s="2"/>
      <c r="R536" s="2"/>
      <c r="S536" s="2"/>
      <c r="T536" s="2"/>
      <c r="U536" s="2"/>
      <c r="V536" s="2"/>
      <c r="W536" s="2"/>
      <c r="X536" s="2"/>
      <c r="Y536" s="2"/>
      <c r="Z536" s="2"/>
      <c r="AA536" s="2"/>
      <c r="AB536" s="2"/>
      <c r="AC536" s="2"/>
      <c r="AD536" s="2"/>
      <c r="AE536" s="2"/>
      <c r="AF536" s="2"/>
      <c r="AG536" s="2"/>
      <c r="AH536" s="2"/>
      <c r="AI536" s="2"/>
      <c r="AJ536" s="2"/>
      <c r="AK536" s="2"/>
    </row>
    <row r="537" spans="2:37">
      <c r="B537" s="45" t="s">
        <v>54</v>
      </c>
      <c r="C537" s="340"/>
      <c r="D537" s="329">
        <f>[1]C051!$C$25</f>
        <v>13084</v>
      </c>
      <c r="E537" s="327"/>
      <c r="F537" s="671">
        <f>[1]C051!$D$25</f>
        <v>12067</v>
      </c>
      <c r="G537" s="653"/>
      <c r="H537" s="330">
        <f t="shared" si="72"/>
        <v>-0.08</v>
      </c>
      <c r="J537" s="671">
        <f>[1]C051!$E$25</f>
        <v>12500</v>
      </c>
      <c r="K537" s="653"/>
      <c r="L537" s="330">
        <f>IF(F537=0,0,((J537-F537)/F537))</f>
        <v>0.04</v>
      </c>
      <c r="M537" s="2"/>
      <c r="N537" s="2"/>
      <c r="O537" s="2"/>
      <c r="P537" s="2"/>
      <c r="Q537" s="2"/>
      <c r="R537" s="2"/>
      <c r="S537" s="2"/>
      <c r="T537" s="2"/>
      <c r="U537" s="2"/>
      <c r="V537" s="2"/>
      <c r="W537" s="2"/>
      <c r="X537" s="2"/>
      <c r="Y537" s="2"/>
      <c r="Z537" s="2"/>
      <c r="AA537" s="2"/>
      <c r="AB537" s="2"/>
      <c r="AC537" s="2"/>
      <c r="AD537" s="2"/>
      <c r="AE537" s="2"/>
      <c r="AF537" s="2"/>
      <c r="AG537" s="2"/>
      <c r="AH537" s="2"/>
      <c r="AI537" s="2"/>
      <c r="AJ537" s="2"/>
      <c r="AK537" s="2"/>
    </row>
    <row r="538" spans="2:37">
      <c r="B538" s="342" t="s">
        <v>55</v>
      </c>
      <c r="C538" s="343"/>
      <c r="D538" s="346">
        <f>SUM([1]C053!$C$87:$C$101)</f>
        <v>0</v>
      </c>
      <c r="E538" s="327"/>
      <c r="F538" s="656">
        <f>SUM([1]C053!$D$87:$D$101)</f>
        <v>0</v>
      </c>
      <c r="G538" s="655"/>
      <c r="H538" s="332">
        <f t="shared" si="72"/>
        <v>0</v>
      </c>
      <c r="J538" s="678"/>
      <c r="K538" s="679"/>
      <c r="L538" s="347"/>
      <c r="M538" s="2"/>
      <c r="N538" s="2"/>
      <c r="O538" s="2"/>
      <c r="P538" s="2"/>
      <c r="Q538" s="2"/>
      <c r="R538" s="2"/>
      <c r="S538" s="2"/>
      <c r="T538" s="2"/>
      <c r="U538" s="2"/>
      <c r="V538" s="2"/>
      <c r="W538" s="2"/>
      <c r="X538" s="2"/>
      <c r="Y538" s="2"/>
      <c r="Z538" s="2"/>
      <c r="AA538" s="2"/>
      <c r="AB538" s="2"/>
      <c r="AC538" s="2"/>
      <c r="AD538" s="2"/>
      <c r="AE538" s="2"/>
      <c r="AF538" s="2"/>
      <c r="AG538" s="2"/>
      <c r="AH538" s="2"/>
      <c r="AI538" s="2"/>
      <c r="AJ538" s="2"/>
      <c r="AK538" s="2"/>
    </row>
    <row r="539" spans="2:37">
      <c r="B539" s="45" t="s">
        <v>56</v>
      </c>
      <c r="C539" s="340">
        <v>54</v>
      </c>
      <c r="D539" s="341">
        <v>0</v>
      </c>
      <c r="E539" s="327"/>
      <c r="F539" s="652">
        <v>0</v>
      </c>
      <c r="G539" s="653"/>
      <c r="H539" s="330">
        <f t="shared" si="72"/>
        <v>0</v>
      </c>
      <c r="J539" s="680"/>
      <c r="K539" s="681"/>
      <c r="L539" s="348"/>
      <c r="M539" s="2"/>
      <c r="N539" s="2"/>
      <c r="O539" s="2"/>
      <c r="P539" s="2"/>
      <c r="Q539" s="2"/>
      <c r="R539" s="2"/>
      <c r="S539" s="2"/>
      <c r="T539" s="2"/>
      <c r="U539" s="2"/>
      <c r="V539" s="2"/>
      <c r="W539" s="2"/>
      <c r="X539" s="2"/>
      <c r="Y539" s="2"/>
      <c r="Z539" s="2"/>
      <c r="AA539" s="2"/>
      <c r="AB539" s="2"/>
      <c r="AC539" s="2"/>
      <c r="AD539" s="2"/>
      <c r="AE539" s="2"/>
      <c r="AF539" s="2"/>
      <c r="AG539" s="2"/>
      <c r="AH539" s="2"/>
      <c r="AI539" s="2"/>
      <c r="AJ539" s="2"/>
      <c r="AK539" s="2"/>
    </row>
    <row r="540" spans="2:37">
      <c r="B540" s="342" t="s">
        <v>57</v>
      </c>
      <c r="C540" s="343"/>
      <c r="D540" s="344">
        <v>0</v>
      </c>
      <c r="E540" s="327"/>
      <c r="F540" s="654">
        <v>0</v>
      </c>
      <c r="G540" s="655"/>
      <c r="H540" s="332">
        <f t="shared" si="72"/>
        <v>0</v>
      </c>
      <c r="J540" s="682"/>
      <c r="K540" s="683"/>
      <c r="L540" s="349"/>
      <c r="M540" s="2"/>
      <c r="N540" s="2"/>
      <c r="O540" s="2"/>
      <c r="P540" s="2"/>
      <c r="Q540" s="2"/>
      <c r="R540" s="2"/>
      <c r="S540" s="2"/>
      <c r="T540" s="2"/>
      <c r="U540" s="2"/>
      <c r="V540" s="2"/>
      <c r="W540" s="2"/>
      <c r="X540" s="2"/>
      <c r="Y540" s="2"/>
      <c r="Z540" s="2"/>
      <c r="AA540" s="2"/>
      <c r="AB540" s="2"/>
      <c r="AC540" s="2"/>
      <c r="AD540" s="2"/>
      <c r="AE540" s="2"/>
      <c r="AF540" s="2"/>
      <c r="AG540" s="2"/>
      <c r="AH540" s="2"/>
      <c r="AI540" s="2"/>
      <c r="AJ540" s="2"/>
      <c r="AK540" s="2"/>
    </row>
    <row r="541" spans="2:37">
      <c r="B541" s="350" t="str">
        <f>B1118</f>
        <v>Bond and Interest #1</v>
      </c>
      <c r="C541" s="340">
        <v>62</v>
      </c>
      <c r="D541" s="341">
        <v>0</v>
      </c>
      <c r="E541" s="327"/>
      <c r="F541" s="652">
        <v>0</v>
      </c>
      <c r="G541" s="653"/>
      <c r="H541" s="330">
        <f t="shared" si="72"/>
        <v>0</v>
      </c>
      <c r="J541" s="652">
        <v>0</v>
      </c>
      <c r="K541" s="653"/>
      <c r="L541" s="330">
        <f t="shared" ref="L541:L552" si="74">IF(F541=0,0,((J541-F541)/F541))</f>
        <v>0</v>
      </c>
      <c r="M541" s="2"/>
      <c r="N541" s="2"/>
      <c r="O541" s="2"/>
      <c r="P541" s="2"/>
      <c r="Q541" s="2"/>
      <c r="R541" s="2"/>
      <c r="S541" s="2"/>
      <c r="T541" s="2"/>
      <c r="U541" s="2"/>
      <c r="V541" s="2"/>
      <c r="W541" s="2"/>
      <c r="X541" s="2"/>
      <c r="Y541" s="2"/>
      <c r="Z541" s="2"/>
      <c r="AA541" s="2"/>
      <c r="AB541" s="2"/>
      <c r="AC541" s="2"/>
      <c r="AD541" s="2"/>
      <c r="AE541" s="2"/>
      <c r="AF541" s="2"/>
      <c r="AG541" s="2"/>
      <c r="AH541" s="2"/>
      <c r="AI541" s="2"/>
      <c r="AJ541" s="2"/>
      <c r="AK541" s="2"/>
    </row>
    <row r="542" spans="2:37">
      <c r="B542" s="351" t="str">
        <f>B1119</f>
        <v>Bond and Interest #2</v>
      </c>
      <c r="C542" s="343">
        <v>63</v>
      </c>
      <c r="D542" s="344">
        <v>0</v>
      </c>
      <c r="E542" s="327"/>
      <c r="F542" s="654">
        <v>0</v>
      </c>
      <c r="G542" s="655"/>
      <c r="H542" s="332">
        <f t="shared" si="72"/>
        <v>0</v>
      </c>
      <c r="J542" s="654">
        <v>0</v>
      </c>
      <c r="K542" s="655"/>
      <c r="L542" s="332">
        <f t="shared" si="74"/>
        <v>0</v>
      </c>
      <c r="M542" s="2"/>
      <c r="N542" s="2"/>
      <c r="O542" s="2"/>
      <c r="P542" s="2"/>
      <c r="Q542" s="2"/>
      <c r="R542" s="2"/>
      <c r="S542" s="2"/>
      <c r="T542" s="2"/>
      <c r="U542" s="2"/>
      <c r="V542" s="2"/>
      <c r="W542" s="2"/>
      <c r="X542" s="2"/>
      <c r="Y542" s="2"/>
      <c r="Z542" s="2"/>
      <c r="AA542" s="2"/>
      <c r="AB542" s="2"/>
      <c r="AC542" s="2"/>
      <c r="AD542" s="2"/>
      <c r="AE542" s="2"/>
      <c r="AF542" s="2"/>
      <c r="AG542" s="2"/>
      <c r="AH542" s="2"/>
      <c r="AI542" s="2"/>
      <c r="AJ542" s="2"/>
      <c r="AK542" s="2"/>
    </row>
    <row r="543" spans="2:37">
      <c r="B543" s="45" t="s">
        <v>58</v>
      </c>
      <c r="C543" s="340">
        <v>66</v>
      </c>
      <c r="D543" s="341">
        <v>0</v>
      </c>
      <c r="E543" s="327"/>
      <c r="F543" s="652">
        <v>0</v>
      </c>
      <c r="G543" s="653"/>
      <c r="H543" s="330">
        <f t="shared" si="72"/>
        <v>0</v>
      </c>
      <c r="J543" s="652">
        <v>0</v>
      </c>
      <c r="K543" s="653"/>
      <c r="L543" s="330">
        <f t="shared" si="74"/>
        <v>0</v>
      </c>
      <c r="M543" s="2"/>
      <c r="N543" s="2"/>
      <c r="O543" s="2"/>
      <c r="P543" s="2"/>
      <c r="Q543" s="2"/>
      <c r="R543" s="2"/>
      <c r="S543" s="2"/>
      <c r="T543" s="2"/>
      <c r="U543" s="2"/>
      <c r="V543" s="2"/>
      <c r="W543" s="2"/>
      <c r="X543" s="2"/>
      <c r="Y543" s="2"/>
      <c r="Z543" s="2"/>
      <c r="AA543" s="2"/>
      <c r="AB543" s="2"/>
      <c r="AC543" s="2"/>
      <c r="AD543" s="2"/>
      <c r="AE543" s="2"/>
      <c r="AF543" s="2"/>
      <c r="AG543" s="2"/>
      <c r="AH543" s="2"/>
      <c r="AI543" s="2"/>
      <c r="AJ543" s="2"/>
      <c r="AK543" s="2"/>
    </row>
    <row r="544" spans="2:37">
      <c r="B544" s="342" t="s">
        <v>59</v>
      </c>
      <c r="C544" s="343">
        <v>67</v>
      </c>
      <c r="D544" s="344">
        <v>0</v>
      </c>
      <c r="E544" s="327"/>
      <c r="F544" s="654">
        <v>0</v>
      </c>
      <c r="G544" s="655"/>
      <c r="H544" s="332">
        <f t="shared" si="72"/>
        <v>0</v>
      </c>
      <c r="J544" s="654">
        <v>0</v>
      </c>
      <c r="K544" s="655"/>
      <c r="L544" s="332">
        <f t="shared" si="74"/>
        <v>0</v>
      </c>
      <c r="M544" s="2"/>
      <c r="N544" s="2"/>
      <c r="O544" s="2"/>
      <c r="P544" s="2"/>
      <c r="Q544" s="2"/>
      <c r="R544" s="2"/>
      <c r="S544" s="2"/>
      <c r="T544" s="2"/>
      <c r="U544" s="2"/>
      <c r="V544" s="2"/>
      <c r="W544" s="2"/>
      <c r="X544" s="2"/>
      <c r="Y544" s="2"/>
      <c r="Z544" s="2"/>
      <c r="AA544" s="2"/>
      <c r="AB544" s="2"/>
      <c r="AC544" s="2"/>
      <c r="AD544" s="2"/>
      <c r="AE544" s="2"/>
      <c r="AF544" s="2"/>
      <c r="AG544" s="2"/>
      <c r="AH544" s="2"/>
      <c r="AI544" s="2"/>
      <c r="AJ544" s="2"/>
      <c r="AK544" s="2"/>
    </row>
    <row r="545" spans="2:37" ht="15" thickBot="1">
      <c r="B545" s="45" t="s">
        <v>60</v>
      </c>
      <c r="C545" s="340">
        <v>68</v>
      </c>
      <c r="D545" s="341">
        <v>0</v>
      </c>
      <c r="E545" s="327"/>
      <c r="F545" s="669">
        <v>0</v>
      </c>
      <c r="G545" s="670"/>
      <c r="H545" s="247">
        <f t="shared" si="72"/>
        <v>0</v>
      </c>
      <c r="J545" s="669">
        <v>0</v>
      </c>
      <c r="K545" s="670"/>
      <c r="L545" s="247">
        <f t="shared" si="74"/>
        <v>0</v>
      </c>
      <c r="M545" s="2"/>
      <c r="N545" s="2"/>
      <c r="O545" s="2"/>
      <c r="P545" s="2"/>
      <c r="Q545" s="2"/>
      <c r="R545" s="2"/>
      <c r="S545" s="2"/>
      <c r="T545" s="2"/>
      <c r="U545" s="2"/>
      <c r="V545" s="2"/>
      <c r="W545" s="2"/>
      <c r="X545" s="2"/>
      <c r="Y545" s="2"/>
      <c r="Z545" s="2"/>
      <c r="AA545" s="2"/>
      <c r="AB545" s="2"/>
      <c r="AC545" s="2"/>
      <c r="AD545" s="2"/>
      <c r="AE545" s="2"/>
      <c r="AF545" s="2"/>
      <c r="AG545" s="2"/>
      <c r="AH545" s="2"/>
      <c r="AI545" s="2"/>
      <c r="AJ545" s="2"/>
      <c r="AK545" s="2"/>
    </row>
    <row r="546" spans="2:37" ht="15" thickTop="1">
      <c r="B546" s="353" t="s">
        <v>61</v>
      </c>
      <c r="C546" s="353"/>
      <c r="D546" s="371">
        <f>SUM(D514:D545)</f>
        <v>137527</v>
      </c>
      <c r="E546" s="327"/>
      <c r="F546" s="667">
        <f>SUM(F514:G545)</f>
        <v>123495</v>
      </c>
      <c r="G546" s="668"/>
      <c r="H546" s="372">
        <f t="shared" si="72"/>
        <v>-0.1</v>
      </c>
      <c r="J546" s="667">
        <f>SUM(J514:K545)</f>
        <v>148600</v>
      </c>
      <c r="K546" s="668"/>
      <c r="L546" s="372">
        <f t="shared" si="74"/>
        <v>0.2</v>
      </c>
      <c r="M546" s="2"/>
      <c r="N546" s="2"/>
      <c r="O546" s="2"/>
      <c r="P546" s="2"/>
      <c r="Q546" s="2"/>
      <c r="R546" s="2"/>
      <c r="S546" s="2"/>
      <c r="T546" s="2"/>
      <c r="U546" s="2"/>
      <c r="V546" s="2"/>
      <c r="W546" s="2"/>
      <c r="X546" s="2"/>
      <c r="Y546" s="2"/>
      <c r="Z546" s="2"/>
      <c r="AA546" s="2"/>
      <c r="AB546" s="2"/>
      <c r="AC546" s="2"/>
      <c r="AD546" s="2"/>
      <c r="AE546" s="2"/>
      <c r="AF546" s="2"/>
      <c r="AG546" s="2"/>
      <c r="AH546" s="2"/>
      <c r="AI546" s="2"/>
      <c r="AJ546" s="2"/>
      <c r="AK546" s="2"/>
    </row>
    <row r="547" spans="2:37" ht="17.25" customHeight="1">
      <c r="B547" s="45" t="s">
        <v>181</v>
      </c>
      <c r="C547" s="45"/>
      <c r="D547" s="356">
        <f>G1312</f>
        <v>70.7</v>
      </c>
      <c r="E547" s="327"/>
      <c r="F547" s="665">
        <f>I1312</f>
        <v>82.5</v>
      </c>
      <c r="G547" s="666"/>
      <c r="H547" s="247">
        <f t="shared" si="72"/>
        <v>0.17</v>
      </c>
      <c r="J547" s="665">
        <f>K1312</f>
        <v>70</v>
      </c>
      <c r="K547" s="666"/>
      <c r="L547" s="247">
        <f t="shared" si="74"/>
        <v>-0.15</v>
      </c>
      <c r="M547" s="2"/>
      <c r="N547" s="2"/>
      <c r="O547" s="2"/>
      <c r="P547" s="2"/>
      <c r="Q547" s="2"/>
      <c r="R547" s="2"/>
      <c r="S547" s="2"/>
      <c r="T547" s="2"/>
      <c r="U547" s="2"/>
      <c r="V547" s="2"/>
      <c r="W547" s="2"/>
      <c r="X547" s="2"/>
      <c r="Y547" s="2"/>
      <c r="Z547" s="2"/>
      <c r="AA547" s="2"/>
      <c r="AB547" s="2"/>
      <c r="AC547" s="2"/>
      <c r="AD547" s="2"/>
      <c r="AE547" s="2"/>
      <c r="AF547" s="2"/>
      <c r="AG547" s="2"/>
      <c r="AH547" s="2"/>
      <c r="AI547" s="2"/>
      <c r="AJ547" s="2"/>
      <c r="AK547" s="2"/>
    </row>
    <row r="548" spans="2:37" ht="16.5" thickBot="1">
      <c r="B548" s="342" t="s">
        <v>182</v>
      </c>
      <c r="C548" s="342"/>
      <c r="D548" s="346">
        <f>IF(D546=0,0,D546/D547)</f>
        <v>1945</v>
      </c>
      <c r="E548" s="327"/>
      <c r="F548" s="663">
        <f>IF(F546=0,0,F546/F547)</f>
        <v>1497</v>
      </c>
      <c r="G548" s="664"/>
      <c r="H548" s="357">
        <f t="shared" si="72"/>
        <v>-0.23</v>
      </c>
      <c r="J548" s="663">
        <f>IF(J546=0,0,J546/J547)</f>
        <v>2123</v>
      </c>
      <c r="K548" s="664"/>
      <c r="L548" s="357">
        <f t="shared" si="74"/>
        <v>0.42</v>
      </c>
      <c r="M548" s="2"/>
      <c r="N548" s="2"/>
      <c r="O548" s="2"/>
      <c r="P548" s="2"/>
      <c r="Q548" s="2"/>
      <c r="R548" s="2"/>
      <c r="S548" s="2"/>
      <c r="T548" s="2"/>
      <c r="U548" s="2"/>
      <c r="V548" s="2"/>
      <c r="W548" s="2"/>
      <c r="X548" s="2"/>
      <c r="Y548" s="2"/>
      <c r="Z548" s="2"/>
      <c r="AA548" s="2"/>
      <c r="AB548" s="2"/>
      <c r="AC548" s="2"/>
      <c r="AD548" s="2"/>
      <c r="AE548" s="2"/>
      <c r="AF548" s="2"/>
      <c r="AG548" s="2"/>
      <c r="AH548" s="2"/>
      <c r="AI548" s="2"/>
      <c r="AJ548" s="2"/>
      <c r="AK548" s="2"/>
    </row>
    <row r="549" spans="2:37">
      <c r="B549" s="358" t="s">
        <v>63</v>
      </c>
      <c r="C549" s="358"/>
      <c r="D549" s="359">
        <f>SUM([1]C010!$C$120:$C$131)</f>
        <v>0</v>
      </c>
      <c r="E549" s="327"/>
      <c r="F549" s="769">
        <f>SUM([1]C010!$D$120:$D$131)</f>
        <v>0</v>
      </c>
      <c r="G549" s="662"/>
      <c r="H549" s="360">
        <f>IF(C549=0,0,((F549-C549)/C549))</f>
        <v>0</v>
      </c>
      <c r="J549" s="769">
        <f>SUM([1]C010!$E$120:$E$131)</f>
        <v>0</v>
      </c>
      <c r="K549" s="662"/>
      <c r="L549" s="360">
        <f t="shared" si="74"/>
        <v>0</v>
      </c>
      <c r="M549" s="2"/>
      <c r="N549" s="2"/>
      <c r="O549" s="2"/>
      <c r="P549" s="2"/>
      <c r="Q549" s="2"/>
      <c r="R549" s="2"/>
      <c r="S549" s="2"/>
      <c r="T549" s="2"/>
      <c r="U549" s="2"/>
      <c r="V549" s="2"/>
      <c r="W549" s="2"/>
      <c r="X549" s="2"/>
      <c r="Y549" s="2"/>
      <c r="Z549" s="2"/>
      <c r="AA549" s="2"/>
      <c r="AB549" s="2"/>
      <c r="AC549" s="2"/>
      <c r="AD549" s="2"/>
      <c r="AE549" s="2"/>
      <c r="AF549" s="2"/>
      <c r="AG549" s="2"/>
      <c r="AH549" s="2"/>
      <c r="AI549" s="2"/>
      <c r="AJ549" s="2"/>
      <c r="AK549" s="2"/>
    </row>
    <row r="550" spans="2:37" ht="17.25" customHeight="1">
      <c r="B550" s="342" t="s">
        <v>64</v>
      </c>
      <c r="C550" s="342"/>
      <c r="D550" s="339">
        <v>0</v>
      </c>
      <c r="E550" s="327"/>
      <c r="F550" s="654">
        <v>0</v>
      </c>
      <c r="G550" s="655"/>
      <c r="H550" s="332">
        <f>IF(C550=0,0,((F550-C550)/C550))</f>
        <v>0</v>
      </c>
      <c r="J550" s="654">
        <v>0</v>
      </c>
      <c r="K550" s="655"/>
      <c r="L550" s="332">
        <f t="shared" si="74"/>
        <v>0</v>
      </c>
      <c r="M550" s="2"/>
      <c r="N550" s="2"/>
      <c r="O550" s="2"/>
      <c r="P550" s="2"/>
      <c r="Q550" s="2"/>
      <c r="R550" s="2"/>
      <c r="S550" s="2"/>
      <c r="T550" s="2"/>
      <c r="U550" s="2"/>
      <c r="V550" s="2"/>
      <c r="W550" s="2"/>
      <c r="X550" s="2"/>
      <c r="Y550" s="2"/>
      <c r="Z550" s="2"/>
      <c r="AA550" s="2"/>
      <c r="AB550" s="2"/>
      <c r="AC550" s="2"/>
      <c r="AD550" s="2"/>
      <c r="AE550" s="2"/>
      <c r="AF550" s="2"/>
      <c r="AG550" s="2"/>
      <c r="AH550" s="2"/>
      <c r="AI550" s="2"/>
      <c r="AJ550" s="2"/>
      <c r="AK550" s="2"/>
    </row>
    <row r="551" spans="2:37" ht="15" thickBot="1">
      <c r="B551" s="361" t="s">
        <v>65</v>
      </c>
      <c r="C551" s="361"/>
      <c r="D551" s="362">
        <f>SUM([1]C078!$C$95:$C$106)</f>
        <v>0</v>
      </c>
      <c r="E551" s="327"/>
      <c r="F551" s="684">
        <f>SUM([1]C078!$D$95:$D$106)</f>
        <v>0</v>
      </c>
      <c r="G551" s="660"/>
      <c r="H551" s="363">
        <f>IF(C551=0,0,((F551-C551)/C551))</f>
        <v>0</v>
      </c>
      <c r="J551" s="684">
        <f>SUM([1]C078!$E$95:$E$106)</f>
        <v>0</v>
      </c>
      <c r="K551" s="660"/>
      <c r="L551" s="363">
        <f t="shared" si="74"/>
        <v>0</v>
      </c>
      <c r="M551" s="2"/>
      <c r="N551" s="2"/>
      <c r="O551" s="2"/>
      <c r="P551" s="2"/>
      <c r="Q551" s="2"/>
      <c r="R551" s="2"/>
      <c r="S551" s="2"/>
      <c r="T551" s="2"/>
      <c r="U551" s="2"/>
      <c r="V551" s="2"/>
      <c r="W551" s="2"/>
      <c r="X551" s="2"/>
      <c r="Y551" s="2"/>
      <c r="Z551" s="2"/>
      <c r="AA551" s="2"/>
      <c r="AB551" s="2"/>
      <c r="AC551" s="2"/>
      <c r="AD551" s="2"/>
      <c r="AE551" s="2"/>
      <c r="AF551" s="2"/>
      <c r="AG551" s="2"/>
      <c r="AH551" s="2"/>
      <c r="AI551" s="2"/>
      <c r="AJ551" s="2"/>
      <c r="AK551" s="2"/>
    </row>
    <row r="552" spans="2:37" ht="15" thickTop="1">
      <c r="B552" s="365" t="s">
        <v>66</v>
      </c>
      <c r="C552" s="365"/>
      <c r="D552" s="373">
        <f>SUM(D549:D551,D546)</f>
        <v>137527</v>
      </c>
      <c r="E552" s="327"/>
      <c r="F552" s="657">
        <f>SUM(F549:G551,F546)</f>
        <v>123495</v>
      </c>
      <c r="G552" s="658"/>
      <c r="H552" s="374">
        <f>IF(D552=0,0,((F552-D552)/D552))</f>
        <v>-0.1</v>
      </c>
      <c r="J552" s="657">
        <f>SUM(J549:K551,J546)</f>
        <v>148600</v>
      </c>
      <c r="K552" s="658"/>
      <c r="L552" s="374">
        <f t="shared" si="74"/>
        <v>0.2</v>
      </c>
      <c r="M552" s="2"/>
      <c r="N552" s="2"/>
      <c r="O552" s="2"/>
      <c r="P552" s="2"/>
      <c r="Q552" s="2"/>
      <c r="R552" s="2"/>
      <c r="S552" s="2"/>
      <c r="T552" s="2"/>
      <c r="U552" s="2"/>
      <c r="V552" s="2"/>
      <c r="W552" s="2"/>
      <c r="X552" s="2"/>
      <c r="Y552" s="2"/>
      <c r="Z552" s="2"/>
      <c r="AA552" s="2"/>
      <c r="AB552" s="2"/>
      <c r="AC552" s="2"/>
      <c r="AD552" s="2"/>
      <c r="AE552" s="2"/>
      <c r="AF552" s="2"/>
      <c r="AG552" s="2"/>
      <c r="AH552" s="2"/>
      <c r="AI552" s="2"/>
      <c r="AJ552" s="2"/>
      <c r="AK552" s="2"/>
    </row>
    <row r="553" spans="2:37" ht="6.75" customHeight="1">
      <c r="B553" s="2"/>
      <c r="C553" s="2"/>
      <c r="D553" s="159"/>
      <c r="E553" s="2"/>
      <c r="F553" s="159"/>
      <c r="G553" s="2"/>
      <c r="H553" s="2"/>
      <c r="I553" s="159"/>
      <c r="J553" s="2"/>
      <c r="K553" s="2"/>
      <c r="L553" s="2"/>
      <c r="M553" s="2"/>
      <c r="N553" s="2"/>
      <c r="O553" s="2"/>
      <c r="P553" s="2"/>
      <c r="Q553" s="2"/>
      <c r="R553" s="2"/>
      <c r="S553" s="2"/>
      <c r="T553" s="2"/>
      <c r="U553" s="2"/>
      <c r="V553" s="2"/>
      <c r="W553" s="2"/>
      <c r="X553" s="2"/>
      <c r="Y553" s="2"/>
      <c r="Z553" s="2"/>
      <c r="AA553" s="2"/>
      <c r="AB553" s="2"/>
      <c r="AC553" s="2"/>
      <c r="AD553" s="2"/>
      <c r="AE553" s="2"/>
      <c r="AF553" s="2"/>
      <c r="AG553" s="2"/>
      <c r="AH553" s="2"/>
      <c r="AI553" s="2"/>
      <c r="AJ553" s="2"/>
      <c r="AK553" s="2"/>
    </row>
    <row r="554" spans="2:37">
      <c r="B554" s="650"/>
      <c r="C554" s="650"/>
      <c r="D554" s="650"/>
      <c r="E554" s="650"/>
      <c r="F554" s="650"/>
      <c r="G554" s="650"/>
      <c r="H554" s="650"/>
      <c r="I554" s="650"/>
      <c r="J554" s="650"/>
      <c r="K554" s="650"/>
      <c r="L554" s="650"/>
      <c r="M554" s="2"/>
      <c r="N554" s="2"/>
      <c r="O554" s="2"/>
      <c r="P554" s="2"/>
      <c r="Q554" s="2"/>
      <c r="R554" s="2"/>
      <c r="S554" s="2"/>
      <c r="T554" s="2"/>
      <c r="U554" s="2"/>
      <c r="V554" s="2"/>
      <c r="W554" s="2"/>
      <c r="X554" s="2"/>
      <c r="Y554" s="2"/>
      <c r="Z554" s="2"/>
      <c r="AA554" s="2"/>
      <c r="AB554" s="2"/>
      <c r="AC554" s="2"/>
      <c r="AD554" s="2"/>
      <c r="AE554" s="2"/>
      <c r="AF554" s="2"/>
      <c r="AG554" s="2"/>
      <c r="AH554" s="2"/>
      <c r="AI554" s="2"/>
      <c r="AJ554" s="2"/>
      <c r="AK554" s="2"/>
    </row>
    <row r="555" spans="2:37">
      <c r="B555" s="650"/>
      <c r="C555" s="650"/>
      <c r="D555" s="650"/>
      <c r="E555" s="650"/>
      <c r="F555" s="650"/>
      <c r="G555" s="650"/>
      <c r="H555" s="650"/>
      <c r="I555" s="650"/>
      <c r="J555" s="650"/>
      <c r="K555" s="650"/>
      <c r="L555" s="650"/>
      <c r="M555" s="2"/>
      <c r="N555" s="2"/>
      <c r="O555" s="2"/>
      <c r="P555" s="2"/>
      <c r="Q555" s="2"/>
      <c r="R555" s="2"/>
      <c r="S555" s="2"/>
      <c r="T555" s="2"/>
      <c r="U555" s="2"/>
      <c r="V555" s="2"/>
      <c r="W555" s="2"/>
      <c r="X555" s="2"/>
      <c r="Y555" s="2"/>
      <c r="Z555" s="2"/>
      <c r="AA555" s="2"/>
      <c r="AB555" s="2"/>
      <c r="AC555" s="2"/>
      <c r="AD555" s="2"/>
      <c r="AE555" s="2"/>
      <c r="AF555" s="2"/>
      <c r="AG555" s="2"/>
      <c r="AH555" s="2"/>
      <c r="AI555" s="2"/>
      <c r="AJ555" s="2"/>
      <c r="AK555" s="2"/>
    </row>
    <row r="556" spans="2:37">
      <c r="B556" s="650"/>
      <c r="C556" s="650"/>
      <c r="D556" s="650"/>
      <c r="E556" s="650"/>
      <c r="F556" s="650"/>
      <c r="G556" s="650"/>
      <c r="H556" s="650"/>
      <c r="I556" s="650"/>
      <c r="J556" s="650"/>
      <c r="K556" s="650"/>
      <c r="L556" s="650"/>
      <c r="M556" s="2"/>
      <c r="N556" s="2"/>
      <c r="O556" s="2"/>
      <c r="P556" s="2"/>
      <c r="Q556" s="2"/>
      <c r="R556" s="2"/>
      <c r="S556" s="2"/>
      <c r="T556" s="2"/>
      <c r="U556" s="2"/>
      <c r="V556" s="2"/>
      <c r="W556" s="2"/>
      <c r="X556" s="2"/>
      <c r="Y556" s="2"/>
      <c r="Z556" s="2"/>
      <c r="AA556" s="2"/>
      <c r="AB556" s="2"/>
      <c r="AC556" s="2"/>
      <c r="AD556" s="2"/>
      <c r="AE556" s="2"/>
      <c r="AF556" s="2"/>
      <c r="AG556" s="2"/>
      <c r="AH556" s="2"/>
      <c r="AI556" s="2"/>
      <c r="AJ556" s="2"/>
      <c r="AK556" s="2"/>
    </row>
    <row r="557" spans="2:37">
      <c r="B557" s="205"/>
      <c r="C557" s="2"/>
      <c r="D557" s="159"/>
      <c r="E557" s="2"/>
      <c r="F557" s="159"/>
      <c r="G557" s="2"/>
      <c r="H557" s="2"/>
      <c r="I557" s="159"/>
      <c r="J557" s="2"/>
      <c r="K557" s="2"/>
      <c r="L557" s="2"/>
      <c r="M557" s="2"/>
      <c r="N557" s="2"/>
      <c r="O557" s="2"/>
      <c r="P557" s="2"/>
      <c r="Q557" s="2"/>
      <c r="R557" s="2"/>
      <c r="S557" s="2"/>
      <c r="T557" s="2"/>
      <c r="U557" s="2"/>
      <c r="V557" s="2"/>
      <c r="W557" s="2"/>
      <c r="X557" s="2"/>
      <c r="Y557" s="2"/>
      <c r="Z557" s="2"/>
      <c r="AA557" s="2"/>
      <c r="AB557" s="2"/>
      <c r="AC557" s="2"/>
      <c r="AD557" s="2"/>
      <c r="AE557" s="2"/>
      <c r="AF557" s="2"/>
      <c r="AG557" s="2"/>
      <c r="AH557" s="2"/>
      <c r="AI557" s="2"/>
      <c r="AJ557" s="2"/>
      <c r="AK557" s="2"/>
    </row>
    <row r="558" spans="2:37">
      <c r="M558" s="2"/>
      <c r="N558" s="2"/>
      <c r="S558" s="2"/>
      <c r="T558" s="2"/>
      <c r="U558" s="2"/>
      <c r="V558" s="2"/>
      <c r="W558" s="2"/>
      <c r="X558" s="2"/>
      <c r="Y558" s="2"/>
      <c r="Z558" s="2"/>
      <c r="AA558" s="2"/>
      <c r="AB558" s="2"/>
      <c r="AC558" s="2"/>
      <c r="AD558" s="2"/>
      <c r="AE558" s="2"/>
      <c r="AF558" s="2"/>
      <c r="AG558" s="2"/>
      <c r="AH558" s="2"/>
      <c r="AI558" s="2"/>
      <c r="AJ558" s="2"/>
      <c r="AK558" s="2"/>
    </row>
    <row r="559" spans="2:37">
      <c r="M559" s="2"/>
      <c r="N559" s="2"/>
      <c r="S559" s="2"/>
      <c r="T559" s="2"/>
      <c r="U559" s="2"/>
      <c r="V559" s="2"/>
      <c r="W559" s="2"/>
      <c r="X559" s="2"/>
      <c r="Y559" s="2"/>
      <c r="Z559" s="2"/>
      <c r="AA559" s="2"/>
      <c r="AB559" s="2"/>
      <c r="AC559" s="2"/>
      <c r="AD559" s="2"/>
      <c r="AE559" s="2"/>
      <c r="AF559" s="2"/>
      <c r="AG559" s="2"/>
      <c r="AH559" s="2"/>
      <c r="AI559" s="2"/>
      <c r="AJ559" s="2"/>
      <c r="AK559" s="2"/>
    </row>
    <row r="560" spans="2:37">
      <c r="B560" s="2"/>
      <c r="C560" s="2"/>
      <c r="D560" s="159"/>
      <c r="E560" s="2"/>
      <c r="F560" s="159"/>
      <c r="G560" s="2"/>
      <c r="H560" s="2"/>
      <c r="I560" s="159"/>
      <c r="J560" s="2"/>
      <c r="K560" s="2"/>
      <c r="L560" s="2"/>
      <c r="M560" s="2"/>
      <c r="N560" s="2"/>
      <c r="S560" s="2"/>
      <c r="T560" s="2"/>
      <c r="U560" s="2"/>
      <c r="V560" s="2"/>
      <c r="W560" s="2"/>
      <c r="X560" s="2"/>
      <c r="Y560" s="2"/>
      <c r="Z560" s="2"/>
      <c r="AA560" s="2"/>
      <c r="AB560" s="2"/>
      <c r="AC560" s="2"/>
      <c r="AD560" s="2"/>
      <c r="AE560" s="2"/>
      <c r="AF560" s="2"/>
      <c r="AG560" s="2"/>
      <c r="AH560" s="2"/>
      <c r="AI560" s="2"/>
      <c r="AJ560" s="2"/>
      <c r="AK560" s="2"/>
    </row>
    <row r="561" spans="2:37">
      <c r="B561" s="2"/>
      <c r="C561" s="2"/>
      <c r="D561" s="159"/>
      <c r="E561" s="2"/>
      <c r="F561" s="159"/>
      <c r="G561" s="2"/>
      <c r="H561" s="2"/>
      <c r="I561" s="159"/>
      <c r="J561" s="2"/>
      <c r="K561" s="2"/>
      <c r="L561" s="2"/>
      <c r="M561" s="2"/>
      <c r="N561" s="2"/>
      <c r="O561" s="2"/>
      <c r="P561" s="2"/>
      <c r="Q561" s="2"/>
      <c r="R561" s="2"/>
      <c r="S561" s="2"/>
      <c r="T561" s="2"/>
      <c r="U561" s="2"/>
      <c r="V561" s="2"/>
      <c r="W561" s="2"/>
      <c r="X561" s="2"/>
      <c r="Y561" s="2"/>
      <c r="Z561" s="2"/>
      <c r="AA561" s="2"/>
      <c r="AB561" s="2"/>
      <c r="AC561" s="2"/>
      <c r="AD561" s="2"/>
      <c r="AE561" s="2"/>
      <c r="AF561" s="2"/>
      <c r="AG561" s="2"/>
      <c r="AH561" s="2"/>
      <c r="AI561" s="2"/>
      <c r="AJ561" s="2"/>
      <c r="AK561" s="2"/>
    </row>
    <row r="562" spans="2:37">
      <c r="B562" s="2"/>
      <c r="C562" s="2"/>
      <c r="D562" s="159"/>
      <c r="E562" s="2"/>
      <c r="F562" s="159"/>
      <c r="G562" s="2"/>
      <c r="H562" s="2"/>
      <c r="I562" s="159"/>
      <c r="J562" s="2"/>
      <c r="K562" s="2"/>
      <c r="L562" s="2"/>
      <c r="M562" s="2"/>
      <c r="N562" s="2"/>
      <c r="O562" s="2"/>
      <c r="P562" s="140" t="str">
        <f>$B$509</f>
        <v>General Administration Expenditures (2300)</v>
      </c>
      <c r="Q562" s="2"/>
      <c r="R562" s="2"/>
      <c r="S562" s="2"/>
      <c r="T562" s="2"/>
      <c r="U562" s="2"/>
      <c r="V562" s="2"/>
      <c r="W562" s="2"/>
      <c r="X562" s="2"/>
      <c r="Y562" s="2"/>
      <c r="Z562" s="2"/>
      <c r="AA562" s="2"/>
      <c r="AB562" s="2"/>
      <c r="AC562" s="2"/>
      <c r="AD562" s="2"/>
      <c r="AE562" s="2"/>
      <c r="AF562" s="2"/>
      <c r="AG562" s="2"/>
      <c r="AH562" s="2"/>
      <c r="AI562" s="2"/>
      <c r="AJ562" s="2"/>
      <c r="AK562" s="2"/>
    </row>
    <row r="563" spans="2:37">
      <c r="B563" s="2"/>
      <c r="C563" s="2"/>
      <c r="D563" s="159"/>
      <c r="E563" s="2"/>
      <c r="F563" s="159"/>
      <c r="G563" s="2"/>
      <c r="H563" s="2"/>
      <c r="I563" s="159"/>
      <c r="J563" s="2"/>
      <c r="K563" s="2"/>
      <c r="L563" s="2"/>
      <c r="M563" s="2"/>
      <c r="N563" s="2"/>
      <c r="O563" s="2"/>
      <c r="P563" s="82" t="str">
        <f>D4</f>
        <v>2023-2024</v>
      </c>
      <c r="Q563" s="82" t="str">
        <f>F4</f>
        <v>2024-2025</v>
      </c>
      <c r="R563" s="82" t="str">
        <f>I4</f>
        <v>2025-2026</v>
      </c>
      <c r="S563" s="2"/>
      <c r="T563" s="2"/>
      <c r="U563" s="2"/>
      <c r="V563" s="2"/>
      <c r="W563" s="2"/>
      <c r="X563" s="2"/>
      <c r="Y563" s="2"/>
      <c r="Z563" s="2"/>
      <c r="AA563" s="2"/>
      <c r="AB563" s="2"/>
      <c r="AC563" s="2"/>
      <c r="AD563" s="2"/>
      <c r="AE563" s="2"/>
      <c r="AF563" s="2"/>
      <c r="AG563" s="2"/>
      <c r="AH563" s="2"/>
      <c r="AI563" s="2"/>
      <c r="AJ563" s="2"/>
      <c r="AK563" s="2"/>
    </row>
    <row r="564" spans="2:37">
      <c r="B564" s="2"/>
      <c r="C564" s="2"/>
      <c r="D564" s="159"/>
      <c r="E564" s="2"/>
      <c r="F564" s="159"/>
      <c r="G564" s="2"/>
      <c r="H564" s="2"/>
      <c r="I564" s="159"/>
      <c r="J564" s="2"/>
      <c r="K564" s="2"/>
      <c r="L564" s="2"/>
      <c r="M564" s="2"/>
      <c r="N564" s="2"/>
      <c r="O564" s="140" t="str">
        <f>$B509</f>
        <v>General Administration Expenditures (2300)</v>
      </c>
      <c r="P564" s="207">
        <f>IF(AND($D552&lt;=0,$F552&lt;=0,$J552&lt;=0),#N/A,IF($D552&lt;=0,0,$D552))</f>
        <v>137527</v>
      </c>
      <c r="Q564" s="207">
        <f>IF(AND($D552&lt;=0,$F552&lt;=0,$J552&lt;=0),#N/A,IF($F552&lt;=0,0,$F552))</f>
        <v>123495</v>
      </c>
      <c r="R564" s="207">
        <f>IF(AND($D552&lt;=0,$F552&lt;=0,$J552&lt;=0),#N/A,IF($J552&lt;=0,0,$J552))</f>
        <v>148600</v>
      </c>
      <c r="S564" s="2"/>
      <c r="T564" s="2"/>
      <c r="U564" s="2"/>
      <c r="V564" s="2"/>
      <c r="W564" s="2"/>
      <c r="X564" s="2"/>
      <c r="Y564" s="2"/>
      <c r="Z564" s="2"/>
      <c r="AA564" s="2"/>
      <c r="AB564" s="2"/>
      <c r="AC564" s="2"/>
      <c r="AD564" s="2"/>
      <c r="AE564" s="2"/>
      <c r="AF564" s="2"/>
      <c r="AG564" s="2"/>
      <c r="AH564" s="2"/>
      <c r="AI564" s="2"/>
      <c r="AJ564" s="2"/>
      <c r="AK564" s="2"/>
    </row>
    <row r="565" spans="2:37">
      <c r="B565" s="2"/>
      <c r="C565" s="2"/>
      <c r="D565" s="159"/>
      <c r="E565" s="2"/>
      <c r="F565" s="159"/>
      <c r="G565" s="2"/>
      <c r="H565" s="2"/>
      <c r="I565" s="159"/>
      <c r="J565" s="2"/>
      <c r="K565" s="2"/>
      <c r="L565" s="2"/>
      <c r="M565" s="2"/>
      <c r="N565" s="2"/>
      <c r="O565" s="2"/>
      <c r="P565" s="2"/>
      <c r="Q565" s="2"/>
      <c r="R565" s="2"/>
      <c r="S565" s="2"/>
      <c r="T565" s="2"/>
      <c r="U565" s="2"/>
      <c r="V565" s="2"/>
      <c r="W565" s="2"/>
      <c r="X565" s="2"/>
      <c r="Y565" s="2"/>
      <c r="Z565" s="2"/>
      <c r="AA565" s="2"/>
      <c r="AB565" s="2"/>
      <c r="AC565" s="2"/>
      <c r="AD565" s="2"/>
      <c r="AE565" s="2"/>
      <c r="AF565" s="2"/>
      <c r="AG565" s="2"/>
      <c r="AH565" s="2"/>
      <c r="AI565" s="2"/>
      <c r="AJ565" s="2"/>
      <c r="AK565" s="2"/>
    </row>
    <row r="566" spans="2:37">
      <c r="B566" s="2"/>
      <c r="C566" s="2"/>
      <c r="D566" s="159"/>
      <c r="E566" s="2"/>
      <c r="F566" s="159"/>
      <c r="G566" s="2"/>
      <c r="H566" s="2"/>
      <c r="I566" s="159"/>
      <c r="J566" s="2"/>
      <c r="K566" s="2"/>
      <c r="L566" s="2"/>
      <c r="M566" s="2"/>
      <c r="N566" s="2"/>
      <c r="O566" s="2"/>
      <c r="P566" s="2"/>
      <c r="Q566" s="2"/>
      <c r="R566" s="2"/>
      <c r="S566" s="2"/>
      <c r="T566" s="2"/>
      <c r="U566" s="2"/>
      <c r="V566" s="2"/>
      <c r="W566" s="2"/>
      <c r="X566" s="2"/>
      <c r="Y566" s="2"/>
      <c r="Z566" s="2"/>
      <c r="AA566" s="2"/>
      <c r="AB566" s="2"/>
      <c r="AC566" s="2"/>
      <c r="AD566" s="2"/>
      <c r="AE566" s="2"/>
      <c r="AF566" s="2"/>
      <c r="AG566" s="2"/>
      <c r="AH566" s="2"/>
      <c r="AI566" s="2"/>
      <c r="AJ566" s="2"/>
      <c r="AK566" s="2"/>
    </row>
    <row r="567" spans="2:37">
      <c r="B567" s="2"/>
      <c r="C567" s="2"/>
      <c r="D567" s="159"/>
      <c r="E567" s="2"/>
      <c r="F567" s="159"/>
      <c r="G567" s="2"/>
      <c r="H567" s="2"/>
      <c r="I567" s="159"/>
      <c r="J567" s="2"/>
      <c r="K567" s="2"/>
      <c r="L567" s="2"/>
      <c r="M567" s="2"/>
      <c r="N567" s="2"/>
      <c r="O567" s="2"/>
      <c r="P567" s="2"/>
      <c r="Q567" s="2"/>
      <c r="R567" s="2"/>
      <c r="S567" s="2"/>
      <c r="T567" s="2"/>
      <c r="U567" s="2"/>
      <c r="V567" s="2"/>
      <c r="W567" s="2"/>
      <c r="X567" s="2"/>
      <c r="Y567" s="2"/>
      <c r="Z567" s="2"/>
      <c r="AA567" s="2"/>
      <c r="AB567" s="2"/>
      <c r="AC567" s="2"/>
      <c r="AD567" s="2"/>
      <c r="AE567" s="2"/>
      <c r="AF567" s="2"/>
      <c r="AG567" s="2"/>
      <c r="AH567" s="2"/>
      <c r="AI567" s="2"/>
      <c r="AJ567" s="2"/>
      <c r="AK567" s="2"/>
    </row>
    <row r="568" spans="2:37">
      <c r="B568" s="2"/>
      <c r="C568" s="2"/>
      <c r="D568" s="159"/>
      <c r="E568" s="2"/>
      <c r="F568" s="159"/>
      <c r="G568" s="2"/>
      <c r="H568" s="2"/>
      <c r="I568" s="159"/>
      <c r="J568" s="2"/>
      <c r="K568" s="2"/>
      <c r="L568" s="2"/>
      <c r="M568" s="2"/>
      <c r="N568" s="2"/>
      <c r="O568" s="2"/>
      <c r="P568" s="2"/>
      <c r="Q568" s="2"/>
      <c r="R568" s="2"/>
      <c r="S568" s="2"/>
      <c r="T568" s="2"/>
      <c r="U568" s="2"/>
      <c r="V568" s="2"/>
      <c r="W568" s="2"/>
      <c r="X568" s="2"/>
      <c r="Y568" s="2"/>
      <c r="Z568" s="2"/>
      <c r="AA568" s="2"/>
      <c r="AB568" s="2"/>
      <c r="AC568" s="2"/>
      <c r="AD568" s="2"/>
      <c r="AE568" s="2"/>
      <c r="AF568" s="2"/>
      <c r="AG568" s="2"/>
      <c r="AH568" s="2"/>
      <c r="AI568" s="2"/>
      <c r="AJ568" s="2"/>
      <c r="AK568" s="2"/>
    </row>
    <row r="569" spans="2:37">
      <c r="B569" s="2"/>
      <c r="C569" s="2"/>
      <c r="D569" s="159"/>
      <c r="E569" s="2"/>
      <c r="F569" s="159"/>
      <c r="G569" s="2"/>
      <c r="H569" s="2"/>
      <c r="I569" s="159"/>
      <c r="J569" s="2"/>
      <c r="K569" s="2"/>
      <c r="L569" s="2"/>
      <c r="M569" s="2"/>
      <c r="N569" s="2"/>
      <c r="O569" s="2"/>
      <c r="P569" s="2"/>
      <c r="Q569" s="2"/>
      <c r="R569" s="2"/>
      <c r="S569" s="2"/>
      <c r="T569" s="2"/>
      <c r="U569" s="2"/>
      <c r="V569" s="2"/>
      <c r="W569" s="2"/>
      <c r="X569" s="2"/>
      <c r="Y569" s="2"/>
      <c r="Z569" s="2"/>
      <c r="AA569" s="2"/>
      <c r="AB569" s="2"/>
      <c r="AC569" s="2"/>
      <c r="AD569" s="2"/>
      <c r="AE569" s="2"/>
      <c r="AF569" s="2"/>
      <c r="AG569" s="2"/>
      <c r="AH569" s="2"/>
      <c r="AI569" s="2"/>
      <c r="AJ569" s="2"/>
      <c r="AK569" s="2"/>
    </row>
    <row r="570" spans="2:37">
      <c r="B570" s="2"/>
      <c r="C570" s="2"/>
      <c r="D570" s="159"/>
      <c r="E570" s="2"/>
      <c r="F570" s="159"/>
      <c r="G570" s="2"/>
      <c r="H570" s="2"/>
      <c r="I570" s="159"/>
      <c r="J570" s="2"/>
      <c r="K570" s="2"/>
      <c r="L570" s="2"/>
      <c r="M570" s="2"/>
      <c r="N570" s="2"/>
      <c r="O570" s="2"/>
      <c r="P570" s="2"/>
      <c r="Q570" s="2"/>
      <c r="R570" s="2"/>
      <c r="S570" s="2"/>
      <c r="T570" s="2"/>
      <c r="U570" s="2"/>
      <c r="V570" s="2"/>
      <c r="W570" s="2"/>
      <c r="X570" s="2"/>
      <c r="Y570" s="2"/>
      <c r="Z570" s="2"/>
      <c r="AA570" s="2"/>
      <c r="AB570" s="2"/>
      <c r="AC570" s="2"/>
      <c r="AD570" s="2"/>
      <c r="AE570" s="2"/>
      <c r="AF570" s="2"/>
      <c r="AG570" s="2"/>
      <c r="AH570" s="2"/>
      <c r="AI570" s="2"/>
      <c r="AJ570" s="2"/>
      <c r="AK570" s="2"/>
    </row>
    <row r="571" spans="2:37">
      <c r="B571" s="2"/>
      <c r="C571" s="2"/>
      <c r="D571" s="159"/>
      <c r="E571" s="2"/>
      <c r="F571" s="159"/>
      <c r="G571" s="2"/>
      <c r="H571" s="2"/>
      <c r="I571" s="159"/>
      <c r="J571" s="2"/>
      <c r="K571" s="2"/>
      <c r="L571" s="2"/>
      <c r="M571" s="2"/>
      <c r="N571" s="2"/>
      <c r="O571" s="2"/>
      <c r="P571" s="2"/>
      <c r="Q571" s="2"/>
      <c r="R571" s="2"/>
      <c r="S571" s="2"/>
      <c r="T571" s="2"/>
      <c r="U571" s="2"/>
      <c r="V571" s="2"/>
      <c r="W571" s="2"/>
      <c r="X571" s="2"/>
      <c r="Y571" s="2"/>
      <c r="Z571" s="2"/>
      <c r="AA571" s="2"/>
      <c r="AB571" s="2"/>
      <c r="AC571" s="2"/>
      <c r="AD571" s="2"/>
      <c r="AE571" s="2"/>
      <c r="AF571" s="2"/>
      <c r="AG571" s="2"/>
      <c r="AH571" s="2"/>
      <c r="AI571" s="2"/>
      <c r="AJ571" s="2"/>
      <c r="AK571" s="2"/>
    </row>
    <row r="572" spans="2:37">
      <c r="B572" s="2"/>
      <c r="C572" s="2"/>
      <c r="D572" s="159"/>
      <c r="E572" s="2"/>
      <c r="F572" s="159"/>
      <c r="G572" s="2"/>
      <c r="H572" s="2"/>
      <c r="I572" s="159"/>
      <c r="J572" s="2"/>
      <c r="K572" s="2"/>
      <c r="L572" s="2"/>
      <c r="M572" s="2"/>
      <c r="N572" s="2"/>
      <c r="O572" s="2"/>
      <c r="P572" s="2"/>
      <c r="Q572" s="2"/>
      <c r="R572" s="2"/>
      <c r="S572" s="2"/>
      <c r="T572" s="2"/>
      <c r="U572" s="2"/>
      <c r="V572" s="2"/>
      <c r="W572" s="2"/>
      <c r="X572" s="2"/>
      <c r="Y572" s="2"/>
      <c r="Z572" s="2"/>
      <c r="AA572" s="2"/>
      <c r="AB572" s="2"/>
      <c r="AC572" s="2"/>
      <c r="AD572" s="2"/>
      <c r="AE572" s="2"/>
      <c r="AF572" s="2"/>
      <c r="AG572" s="2"/>
      <c r="AH572" s="2"/>
      <c r="AI572" s="2"/>
      <c r="AJ572" s="2"/>
      <c r="AK572" s="2"/>
    </row>
    <row r="573" spans="2:37">
      <c r="B573" s="2"/>
      <c r="C573" s="2"/>
      <c r="D573" s="159"/>
      <c r="E573" s="2"/>
      <c r="F573" s="159"/>
      <c r="G573" s="2"/>
      <c r="H573" s="2"/>
      <c r="I573" s="159"/>
      <c r="J573" s="2"/>
      <c r="K573" s="2"/>
      <c r="L573" s="2"/>
      <c r="M573" s="2"/>
      <c r="N573" s="2"/>
      <c r="O573" s="2"/>
      <c r="P573" s="2"/>
      <c r="Q573" s="2"/>
      <c r="R573" s="2"/>
      <c r="S573" s="2"/>
      <c r="T573" s="2"/>
      <c r="U573" s="2"/>
      <c r="V573" s="2"/>
      <c r="W573" s="2"/>
      <c r="X573" s="2"/>
      <c r="Y573" s="2"/>
      <c r="Z573" s="2"/>
      <c r="AA573" s="2"/>
      <c r="AB573" s="2"/>
      <c r="AC573" s="2"/>
      <c r="AD573" s="2"/>
      <c r="AE573" s="2"/>
      <c r="AF573" s="2"/>
      <c r="AG573" s="2"/>
      <c r="AH573" s="2"/>
      <c r="AI573" s="2"/>
      <c r="AJ573" s="2"/>
      <c r="AK573" s="2"/>
    </row>
    <row r="574" spans="2:37" ht="18">
      <c r="B574" s="316" t="s">
        <v>76</v>
      </c>
      <c r="C574" s="143"/>
      <c r="D574" s="143"/>
      <c r="E574" s="143"/>
      <c r="F574" s="144"/>
      <c r="G574" s="144"/>
      <c r="H574" s="144"/>
      <c r="I574" s="143"/>
      <c r="J574" s="143"/>
      <c r="K574" s="377"/>
      <c r="L574" s="143"/>
      <c r="M574" s="2"/>
      <c r="N574" s="2"/>
      <c r="O574" s="2"/>
      <c r="P574" s="2"/>
      <c r="Q574" s="2"/>
      <c r="R574" s="2"/>
      <c r="S574" s="2"/>
      <c r="T574" s="2"/>
      <c r="U574" s="2"/>
      <c r="V574" s="2"/>
      <c r="W574" s="2"/>
      <c r="X574" s="2"/>
      <c r="Y574" s="2"/>
      <c r="Z574" s="2"/>
      <c r="AA574" s="2"/>
      <c r="AB574" s="2"/>
      <c r="AC574" s="2"/>
      <c r="AD574" s="2"/>
      <c r="AE574" s="2"/>
      <c r="AF574" s="2"/>
      <c r="AG574" s="2"/>
      <c r="AH574" s="2"/>
      <c r="AI574" s="2"/>
      <c r="AJ574" s="2"/>
      <c r="AK574" s="2"/>
    </row>
    <row r="575" spans="2:37">
      <c r="B575" s="2"/>
      <c r="C575" s="386" t="s">
        <v>1</v>
      </c>
      <c r="D575" s="379"/>
      <c r="E575" s="4"/>
      <c r="F575" s="379"/>
      <c r="G575" s="59"/>
      <c r="H575" s="4"/>
      <c r="I575" s="317"/>
      <c r="J575" s="380"/>
      <c r="K575" s="2"/>
      <c r="L575" s="2"/>
      <c r="M575" s="2"/>
      <c r="N575" s="2"/>
      <c r="O575" s="2"/>
      <c r="P575" s="2"/>
      <c r="Q575" s="2"/>
      <c r="R575" s="2"/>
      <c r="S575" s="2"/>
      <c r="T575" s="2"/>
      <c r="U575" s="2"/>
      <c r="V575" s="2"/>
      <c r="W575" s="2"/>
      <c r="X575" s="2"/>
      <c r="Y575" s="2"/>
      <c r="Z575" s="2"/>
      <c r="AA575" s="2"/>
      <c r="AB575" s="2"/>
      <c r="AC575" s="2"/>
      <c r="AD575" s="2"/>
      <c r="AE575" s="2"/>
      <c r="AF575" s="2"/>
      <c r="AG575" s="2"/>
      <c r="AH575" s="2"/>
      <c r="AI575" s="2"/>
      <c r="AJ575" s="2"/>
      <c r="AK575" s="2"/>
    </row>
    <row r="576" spans="2:37">
      <c r="B576" s="2"/>
      <c r="C576" s="145"/>
      <c r="D576" s="381" t="str">
        <f>D4</f>
        <v>2023-2024</v>
      </c>
      <c r="E576" s="43"/>
      <c r="F576" s="740" t="str">
        <f>F4</f>
        <v>2024-2025</v>
      </c>
      <c r="G576" s="741"/>
      <c r="H576" s="319" t="s">
        <v>2</v>
      </c>
      <c r="J576" s="740" t="str">
        <f>I4</f>
        <v>2025-2026</v>
      </c>
      <c r="K576" s="741"/>
      <c r="L576" s="387" t="s">
        <v>2</v>
      </c>
      <c r="M576" s="2"/>
      <c r="N576" s="2"/>
      <c r="O576" s="2"/>
      <c r="P576" s="2"/>
      <c r="Q576" s="2"/>
      <c r="R576" s="2"/>
      <c r="S576" s="2"/>
      <c r="T576" s="2"/>
      <c r="U576" s="2"/>
      <c r="V576" s="2"/>
      <c r="W576" s="2"/>
      <c r="X576" s="2"/>
      <c r="Y576" s="2"/>
      <c r="Z576" s="2"/>
      <c r="AA576" s="2"/>
      <c r="AB576" s="2"/>
      <c r="AC576" s="2"/>
      <c r="AD576" s="2"/>
      <c r="AE576" s="2"/>
      <c r="AF576" s="2"/>
      <c r="AG576" s="2"/>
      <c r="AH576" s="2"/>
      <c r="AI576" s="2"/>
      <c r="AJ576" s="2"/>
      <c r="AK576" s="2"/>
    </row>
    <row r="577" spans="2:37">
      <c r="B577" s="2"/>
      <c r="C577" s="220" t="s">
        <v>4</v>
      </c>
      <c r="D577" s="323" t="s">
        <v>5</v>
      </c>
      <c r="E577" s="43"/>
      <c r="F577" s="736" t="s">
        <v>5</v>
      </c>
      <c r="G577" s="737"/>
      <c r="H577" s="322" t="s">
        <v>144</v>
      </c>
      <c r="J577" s="736" t="s">
        <v>6</v>
      </c>
      <c r="K577" s="737"/>
      <c r="L577" s="388" t="s">
        <v>144</v>
      </c>
      <c r="M577" s="2"/>
      <c r="N577" s="2"/>
      <c r="O577" s="2"/>
      <c r="P577" s="2"/>
      <c r="Q577" s="2"/>
      <c r="R577" s="2"/>
      <c r="S577" s="2"/>
      <c r="T577" s="2"/>
      <c r="U577" s="2"/>
      <c r="V577" s="2"/>
      <c r="W577" s="2"/>
      <c r="X577" s="2"/>
      <c r="Y577" s="2"/>
      <c r="Z577" s="2"/>
      <c r="AA577" s="2"/>
      <c r="AB577" s="2"/>
      <c r="AC577" s="2"/>
      <c r="AD577" s="2"/>
      <c r="AE577" s="2"/>
      <c r="AF577" s="2"/>
      <c r="AG577" s="2"/>
      <c r="AH577" s="2"/>
      <c r="AI577" s="2"/>
      <c r="AJ577" s="2"/>
      <c r="AK577" s="2"/>
    </row>
    <row r="578" spans="2:37">
      <c r="B578" s="324" t="s">
        <v>34</v>
      </c>
      <c r="C578" s="325"/>
      <c r="D578" s="326">
        <f>SUM([1]C06!$C$120:$C$133)</f>
        <v>99954</v>
      </c>
      <c r="E578" s="327"/>
      <c r="F578" s="746">
        <f>SUM([1]C06!$D$120:$D$133)</f>
        <v>117518</v>
      </c>
      <c r="G578" s="745"/>
      <c r="H578" s="328">
        <f t="shared" ref="H578:H616" si="75">IF(D578=0,0,((F578-D578)/D578))</f>
        <v>0.18</v>
      </c>
      <c r="J578" s="746">
        <f>SUM([1]C06!$E$120:$E$133)</f>
        <v>104200</v>
      </c>
      <c r="K578" s="745"/>
      <c r="L578" s="328">
        <f t="shared" ref="L578:L599" si="76">IF(F578=0,0,((J578-F578)/F578))</f>
        <v>-0.11</v>
      </c>
      <c r="M578" s="2"/>
      <c r="N578" s="2"/>
      <c r="O578" s="2"/>
      <c r="P578" s="2"/>
      <c r="Q578" s="2"/>
      <c r="R578" s="2"/>
      <c r="S578" s="2"/>
      <c r="T578" s="2"/>
      <c r="U578" s="2"/>
      <c r="V578" s="2"/>
      <c r="W578" s="2"/>
      <c r="X578" s="2"/>
      <c r="Y578" s="2"/>
      <c r="Z578" s="2"/>
      <c r="AA578" s="2"/>
      <c r="AB578" s="2"/>
      <c r="AC578" s="2"/>
      <c r="AD578" s="2"/>
      <c r="AE578" s="2"/>
      <c r="AF578" s="2"/>
      <c r="AG578" s="2"/>
      <c r="AH578" s="2"/>
      <c r="AI578" s="2"/>
      <c r="AJ578" s="2"/>
      <c r="AK578" s="2"/>
    </row>
    <row r="579" spans="2:37">
      <c r="B579" s="44" t="s">
        <v>36</v>
      </c>
      <c r="C579" s="44"/>
      <c r="D579" s="329">
        <f>SUM([1]C07!$C$114:$C$127)</f>
        <v>2084</v>
      </c>
      <c r="E579" s="327"/>
      <c r="F579" s="743">
        <f>SUM([1]C07!$D$114:$D$127)</f>
        <v>0</v>
      </c>
      <c r="G579" s="742"/>
      <c r="H579" s="330">
        <f t="shared" si="75"/>
        <v>-1</v>
      </c>
      <c r="J579" s="743">
        <f>SUM([1]C07!$E$114:$E$127)</f>
        <v>0</v>
      </c>
      <c r="K579" s="742"/>
      <c r="L579" s="330">
        <f t="shared" si="76"/>
        <v>0</v>
      </c>
      <c r="M579" s="2"/>
      <c r="N579" s="2"/>
      <c r="O579" s="2"/>
      <c r="P579" s="2"/>
      <c r="Q579" s="2"/>
      <c r="R579" s="2"/>
      <c r="S579" s="2"/>
      <c r="T579" s="2"/>
      <c r="U579" s="2"/>
      <c r="V579" s="2"/>
      <c r="W579" s="2"/>
      <c r="X579" s="2"/>
      <c r="Y579" s="2"/>
      <c r="Z579" s="2"/>
      <c r="AA579" s="2"/>
      <c r="AB579" s="2"/>
      <c r="AC579" s="2"/>
      <c r="AD579" s="2"/>
      <c r="AE579" s="2"/>
      <c r="AF579" s="2"/>
      <c r="AG579" s="2"/>
      <c r="AH579" s="2"/>
      <c r="AI579" s="2"/>
      <c r="AJ579" s="2"/>
      <c r="AK579" s="2"/>
    </row>
    <row r="580" spans="2:37">
      <c r="B580" s="324" t="s">
        <v>35</v>
      </c>
      <c r="C580" s="324"/>
      <c r="D580" s="331">
        <f>SUM([1]C08!$C$125:$C$138)</f>
        <v>8737</v>
      </c>
      <c r="E580" s="327"/>
      <c r="F580" s="748">
        <f>SUM([1]C08!$D$125:$D$138)</f>
        <v>14381</v>
      </c>
      <c r="G580" s="735"/>
      <c r="H580" s="332">
        <f t="shared" si="75"/>
        <v>0.65</v>
      </c>
      <c r="J580" s="748">
        <f>SUM([1]C08!$E$125:$E$138)</f>
        <v>9550</v>
      </c>
      <c r="K580" s="735"/>
      <c r="L580" s="332">
        <f t="shared" si="76"/>
        <v>-0.34</v>
      </c>
      <c r="M580" s="2"/>
      <c r="N580" s="2"/>
      <c r="O580" s="2"/>
      <c r="P580" s="2"/>
      <c r="Q580" s="2"/>
      <c r="R580" s="2"/>
      <c r="S580" s="2"/>
      <c r="T580" s="2"/>
      <c r="U580" s="2"/>
      <c r="V580" s="2"/>
      <c r="W580" s="2"/>
      <c r="X580" s="2"/>
      <c r="Y580" s="2"/>
      <c r="Z580" s="2"/>
      <c r="AA580" s="2"/>
      <c r="AB580" s="2"/>
      <c r="AC580" s="2"/>
      <c r="AD580" s="2"/>
      <c r="AE580" s="2"/>
      <c r="AF580" s="2"/>
      <c r="AG580" s="2"/>
      <c r="AH580" s="2"/>
      <c r="AI580" s="2"/>
      <c r="AJ580" s="2"/>
      <c r="AK580" s="2"/>
    </row>
    <row r="581" spans="2:37">
      <c r="B581" s="1" t="s">
        <v>140</v>
      </c>
      <c r="C581" s="333"/>
      <c r="D581" s="334">
        <f>SUM([1]C011!$C$98:$C$108)</f>
        <v>0</v>
      </c>
      <c r="E581" s="327"/>
      <c r="F581" s="743">
        <f>SUM([1]C011!$D$98:$D$108)</f>
        <v>0</v>
      </c>
      <c r="G581" s="742"/>
      <c r="H581" s="330">
        <f t="shared" si="75"/>
        <v>0</v>
      </c>
      <c r="J581" s="765">
        <f>SUM([1]C011!$E$98:$E$108)</f>
        <v>0</v>
      </c>
      <c r="K581" s="766"/>
      <c r="L581" s="330">
        <f t="shared" si="76"/>
        <v>0</v>
      </c>
      <c r="M581" s="2"/>
      <c r="N581" s="2"/>
      <c r="O581" s="2"/>
      <c r="P581" s="2"/>
      <c r="Q581" s="2"/>
      <c r="R581" s="2"/>
      <c r="S581" s="2"/>
      <c r="T581" s="2"/>
      <c r="U581" s="2"/>
      <c r="V581" s="2"/>
      <c r="W581" s="2"/>
      <c r="X581" s="2"/>
      <c r="Y581" s="2"/>
      <c r="Z581" s="2"/>
      <c r="AA581" s="2"/>
      <c r="AB581" s="2"/>
      <c r="AC581" s="2"/>
      <c r="AD581" s="2"/>
      <c r="AE581" s="2"/>
      <c r="AF581" s="2"/>
      <c r="AG581" s="2"/>
      <c r="AH581" s="2"/>
      <c r="AI581" s="2"/>
      <c r="AJ581" s="2"/>
      <c r="AK581" s="2"/>
    </row>
    <row r="582" spans="2:37">
      <c r="B582" s="324" t="s">
        <v>277</v>
      </c>
      <c r="C582" s="335"/>
      <c r="D582" s="331">
        <f>SUM([1]C013!$C$98:$C$108)</f>
        <v>0</v>
      </c>
      <c r="E582" s="327"/>
      <c r="F582" s="748">
        <f>SUM([1]C013!$D$98:$D$108)</f>
        <v>0</v>
      </c>
      <c r="G582" s="735"/>
      <c r="H582" s="332">
        <f t="shared" si="75"/>
        <v>0</v>
      </c>
      <c r="J582" s="767">
        <f>SUM([1]C013!$E$98:$E$108)</f>
        <v>0</v>
      </c>
      <c r="K582" s="768"/>
      <c r="L582" s="332">
        <f t="shared" si="76"/>
        <v>0</v>
      </c>
      <c r="M582" s="2"/>
      <c r="N582" s="2"/>
      <c r="O582" s="2"/>
      <c r="P582" s="2"/>
      <c r="Q582" s="2"/>
      <c r="R582" s="2"/>
      <c r="S582" s="2"/>
      <c r="T582" s="2"/>
      <c r="U582" s="2"/>
      <c r="V582" s="2"/>
      <c r="W582" s="2"/>
      <c r="X582" s="2"/>
      <c r="Y582" s="2"/>
      <c r="Z582" s="2"/>
      <c r="AA582" s="2"/>
      <c r="AB582" s="2"/>
      <c r="AC582" s="2"/>
      <c r="AD582" s="2"/>
      <c r="AE582" s="2"/>
      <c r="AF582" s="2"/>
      <c r="AG582" s="2"/>
      <c r="AH582" s="2"/>
      <c r="AI582" s="2"/>
      <c r="AJ582" s="2"/>
      <c r="AK582" s="2"/>
    </row>
    <row r="583" spans="2:37">
      <c r="B583" s="1" t="s">
        <v>39</v>
      </c>
      <c r="C583" s="1"/>
      <c r="D583" s="334">
        <f>SUM([1]C014!$C$94:$C$104)</f>
        <v>0</v>
      </c>
      <c r="E583" s="327"/>
      <c r="F583" s="743">
        <f>SUM([1]C014!$D$94:$D$104)</f>
        <v>0</v>
      </c>
      <c r="G583" s="742"/>
      <c r="H583" s="330">
        <f t="shared" si="75"/>
        <v>0</v>
      </c>
      <c r="J583" s="743">
        <f>SUM([1]C014!$E$94:$E$104)</f>
        <v>0</v>
      </c>
      <c r="K583" s="742"/>
      <c r="L583" s="330">
        <f t="shared" si="76"/>
        <v>0</v>
      </c>
      <c r="M583" s="2"/>
      <c r="N583" s="2"/>
      <c r="O583" s="2"/>
      <c r="P583" s="2"/>
      <c r="Q583" s="2"/>
      <c r="R583" s="2"/>
      <c r="S583" s="2"/>
      <c r="T583" s="2"/>
      <c r="U583" s="2"/>
      <c r="V583" s="2"/>
      <c r="W583" s="2"/>
      <c r="X583" s="2"/>
      <c r="Y583" s="2"/>
      <c r="Z583" s="2"/>
      <c r="AA583" s="2"/>
      <c r="AB583" s="2"/>
      <c r="AC583" s="2"/>
      <c r="AD583" s="2"/>
      <c r="AE583" s="2"/>
      <c r="AF583" s="2"/>
      <c r="AG583" s="2"/>
      <c r="AH583" s="2"/>
      <c r="AI583" s="2"/>
      <c r="AJ583" s="2"/>
      <c r="AK583" s="2"/>
    </row>
    <row r="584" spans="2:37">
      <c r="B584" s="324" t="s">
        <v>40</v>
      </c>
      <c r="C584" s="324"/>
      <c r="D584" s="331">
        <f>SUM([1]C015!$C$94:$C$104)</f>
        <v>0</v>
      </c>
      <c r="E584" s="327"/>
      <c r="F584" s="748">
        <f>SUM([1]C015!$D$94:$D$104)</f>
        <v>0</v>
      </c>
      <c r="G584" s="735"/>
      <c r="H584" s="332">
        <f t="shared" si="75"/>
        <v>0</v>
      </c>
      <c r="J584" s="748">
        <f>SUM([1]C015!$E$94:$E$104)</f>
        <v>0</v>
      </c>
      <c r="K584" s="735"/>
      <c r="L584" s="332">
        <f t="shared" si="76"/>
        <v>0</v>
      </c>
      <c r="M584" s="2"/>
      <c r="N584" s="2"/>
      <c r="O584" s="2"/>
      <c r="P584" s="2"/>
      <c r="Q584" s="2"/>
      <c r="R584" s="2"/>
      <c r="S584" s="2"/>
      <c r="T584" s="2"/>
      <c r="U584" s="2"/>
      <c r="V584" s="2"/>
      <c r="W584" s="2"/>
      <c r="X584" s="2"/>
      <c r="Y584" s="2"/>
      <c r="Z584" s="2"/>
      <c r="AA584" s="2"/>
      <c r="AB584" s="2"/>
      <c r="AC584" s="2"/>
      <c r="AD584" s="2"/>
      <c r="AE584" s="2"/>
      <c r="AF584" s="2"/>
      <c r="AG584" s="2"/>
      <c r="AH584" s="2"/>
      <c r="AI584" s="2"/>
      <c r="AJ584" s="2"/>
      <c r="AK584" s="2"/>
    </row>
    <row r="585" spans="2:37">
      <c r="B585" s="1" t="s">
        <v>41</v>
      </c>
      <c r="C585" s="1"/>
      <c r="D585" s="334">
        <f>SUM([1]C016!$C$74:$C$75)</f>
        <v>0</v>
      </c>
      <c r="E585" s="327"/>
      <c r="F585" s="743">
        <f>SUM([1]C016!$D$74:$D$75)</f>
        <v>0</v>
      </c>
      <c r="G585" s="742"/>
      <c r="H585" s="330">
        <f t="shared" si="75"/>
        <v>0</v>
      </c>
      <c r="J585" s="743">
        <f>SUM([1]C016!$E$74:$E$75)</f>
        <v>0</v>
      </c>
      <c r="K585" s="742"/>
      <c r="L585" s="330">
        <f t="shared" si="76"/>
        <v>0</v>
      </c>
      <c r="M585" s="2"/>
      <c r="N585" s="2"/>
      <c r="O585" s="2"/>
      <c r="P585" s="2"/>
      <c r="Q585" s="2"/>
      <c r="R585" s="2"/>
      <c r="S585" s="2"/>
      <c r="T585" s="2"/>
      <c r="U585" s="2"/>
      <c r="V585" s="2"/>
      <c r="W585" s="2"/>
      <c r="X585" s="2"/>
      <c r="Y585" s="2"/>
      <c r="Z585" s="2"/>
      <c r="AA585" s="2"/>
      <c r="AB585" s="2"/>
      <c r="AC585" s="2"/>
      <c r="AD585" s="2"/>
      <c r="AE585" s="2"/>
      <c r="AF585" s="2"/>
      <c r="AG585" s="2"/>
      <c r="AH585" s="2"/>
      <c r="AI585" s="2"/>
      <c r="AJ585" s="2"/>
      <c r="AK585" s="2"/>
    </row>
    <row r="586" spans="2:37">
      <c r="B586" s="324" t="s">
        <v>70</v>
      </c>
      <c r="C586" s="324"/>
      <c r="D586" s="331">
        <f>SUM([1]C018!$C$94:$C$104)</f>
        <v>0</v>
      </c>
      <c r="E586" s="327"/>
      <c r="F586" s="748">
        <f>SUM([1]C018!$D$94:$D$104)</f>
        <v>0</v>
      </c>
      <c r="G586" s="735"/>
      <c r="H586" s="332">
        <f t="shared" si="75"/>
        <v>0</v>
      </c>
      <c r="J586" s="748">
        <f>SUM([1]C018!$E$94:$E$104)</f>
        <v>0</v>
      </c>
      <c r="K586" s="735"/>
      <c r="L586" s="332">
        <f t="shared" si="76"/>
        <v>0</v>
      </c>
      <c r="M586" s="2"/>
      <c r="N586" s="2"/>
      <c r="O586" s="2"/>
      <c r="P586" s="2"/>
      <c r="Q586" s="2"/>
      <c r="R586" s="2"/>
      <c r="S586" s="2"/>
      <c r="T586" s="2"/>
      <c r="U586" s="2"/>
      <c r="V586" s="2"/>
      <c r="W586" s="2"/>
      <c r="X586" s="2"/>
      <c r="Y586" s="2"/>
      <c r="Z586" s="2"/>
      <c r="AA586" s="2"/>
      <c r="AB586" s="2"/>
      <c r="AC586" s="2"/>
      <c r="AD586" s="2"/>
      <c r="AE586" s="2"/>
      <c r="AF586" s="2"/>
      <c r="AG586" s="2"/>
      <c r="AH586" s="2"/>
      <c r="AI586" s="2"/>
      <c r="AJ586" s="2"/>
      <c r="AK586" s="2"/>
    </row>
    <row r="587" spans="2:37">
      <c r="B587" s="1" t="s">
        <v>43</v>
      </c>
      <c r="C587" s="1"/>
      <c r="D587" s="336">
        <v>0</v>
      </c>
      <c r="E587" s="327"/>
      <c r="F587" s="742">
        <v>0</v>
      </c>
      <c r="G587" s="742"/>
      <c r="H587" s="330">
        <f t="shared" si="75"/>
        <v>0</v>
      </c>
      <c r="J587" s="742">
        <v>0</v>
      </c>
      <c r="K587" s="742"/>
      <c r="L587" s="330">
        <f t="shared" si="76"/>
        <v>0</v>
      </c>
      <c r="M587" s="2"/>
      <c r="N587" s="2"/>
      <c r="O587" s="2"/>
      <c r="P587" s="2"/>
      <c r="Q587" s="2"/>
      <c r="R587" s="2"/>
      <c r="S587" s="2"/>
      <c r="T587" s="2"/>
      <c r="U587" s="2"/>
      <c r="V587" s="2"/>
      <c r="W587" s="2"/>
      <c r="X587" s="2"/>
      <c r="Y587" s="2"/>
      <c r="Z587" s="2"/>
      <c r="AA587" s="2"/>
      <c r="AB587" s="2"/>
      <c r="AC587" s="2"/>
      <c r="AD587" s="2"/>
      <c r="AE587" s="2"/>
      <c r="AF587" s="2"/>
      <c r="AG587" s="2"/>
      <c r="AH587" s="2"/>
      <c r="AI587" s="2"/>
      <c r="AJ587" s="2"/>
      <c r="AK587" s="2"/>
    </row>
    <row r="588" spans="2:37">
      <c r="B588" s="324" t="s">
        <v>44</v>
      </c>
      <c r="C588" s="324"/>
      <c r="D588" s="331">
        <f>SUM([1]C022!$C$94:$C$104)</f>
        <v>0</v>
      </c>
      <c r="E588" s="327"/>
      <c r="F588" s="748">
        <f>SUM([1]C022!$D$94:$D$104)</f>
        <v>0</v>
      </c>
      <c r="G588" s="735"/>
      <c r="H588" s="332">
        <f t="shared" si="75"/>
        <v>0</v>
      </c>
      <c r="J588" s="748">
        <f>SUM([1]C022!$E$94:$E$104)</f>
        <v>0</v>
      </c>
      <c r="K588" s="735"/>
      <c r="L588" s="332">
        <f t="shared" si="76"/>
        <v>0</v>
      </c>
      <c r="M588" s="2"/>
      <c r="N588" s="2"/>
      <c r="O588" s="2"/>
      <c r="P588" s="2"/>
      <c r="Q588" s="2"/>
      <c r="R588" s="2"/>
      <c r="S588" s="2"/>
      <c r="T588" s="2"/>
      <c r="U588" s="2"/>
      <c r="V588" s="2"/>
      <c r="W588" s="2"/>
      <c r="X588" s="2"/>
      <c r="Y588" s="2"/>
      <c r="Z588" s="2"/>
      <c r="AA588" s="2"/>
      <c r="AB588" s="2"/>
      <c r="AC588" s="2"/>
      <c r="AD588" s="2"/>
      <c r="AE588" s="2"/>
      <c r="AF588" s="2"/>
      <c r="AG588" s="2"/>
      <c r="AH588" s="2"/>
      <c r="AI588" s="2"/>
      <c r="AJ588" s="2"/>
      <c r="AK588" s="2"/>
    </row>
    <row r="589" spans="2:37">
      <c r="B589" s="1" t="s">
        <v>45</v>
      </c>
      <c r="C589" s="337">
        <v>24</v>
      </c>
      <c r="D589" s="336">
        <v>0</v>
      </c>
      <c r="E589" s="327"/>
      <c r="F589" s="742">
        <v>0</v>
      </c>
      <c r="G589" s="742"/>
      <c r="H589" s="330">
        <f t="shared" si="75"/>
        <v>0</v>
      </c>
      <c r="J589" s="742">
        <v>0</v>
      </c>
      <c r="K589" s="742"/>
      <c r="L589" s="330">
        <f t="shared" si="76"/>
        <v>0</v>
      </c>
      <c r="M589" s="2"/>
      <c r="N589" s="2"/>
      <c r="O589" s="2"/>
      <c r="P589" s="2"/>
      <c r="Q589" s="2"/>
      <c r="R589" s="2"/>
      <c r="S589" s="2"/>
      <c r="T589" s="2"/>
      <c r="U589" s="2"/>
      <c r="V589" s="2"/>
      <c r="W589" s="2"/>
      <c r="X589" s="2"/>
      <c r="Y589" s="2"/>
      <c r="Z589" s="2"/>
      <c r="AA589" s="2"/>
      <c r="AB589" s="2"/>
      <c r="AC589" s="2"/>
      <c r="AD589" s="2"/>
      <c r="AE589" s="2"/>
      <c r="AF589" s="2"/>
      <c r="AG589" s="2"/>
      <c r="AH589" s="2"/>
      <c r="AI589" s="2"/>
      <c r="AJ589" s="2"/>
      <c r="AK589" s="2"/>
    </row>
    <row r="590" spans="2:37">
      <c r="B590" s="324" t="s">
        <v>46</v>
      </c>
      <c r="C590" s="338">
        <v>26</v>
      </c>
      <c r="D590" s="339">
        <v>0</v>
      </c>
      <c r="E590" s="327"/>
      <c r="F590" s="735">
        <v>0</v>
      </c>
      <c r="G590" s="735"/>
      <c r="H590" s="332">
        <f t="shared" si="75"/>
        <v>0</v>
      </c>
      <c r="J590" s="735">
        <v>0</v>
      </c>
      <c r="K590" s="735"/>
      <c r="L590" s="332">
        <f t="shared" si="76"/>
        <v>0</v>
      </c>
      <c r="M590" s="2"/>
      <c r="N590" s="2"/>
      <c r="O590" s="2"/>
      <c r="P590" s="2"/>
      <c r="Q590" s="2"/>
      <c r="R590" s="2"/>
      <c r="S590" s="2"/>
      <c r="T590" s="2"/>
      <c r="U590" s="2"/>
      <c r="V590" s="2"/>
      <c r="W590" s="2"/>
      <c r="X590" s="2"/>
      <c r="Y590" s="2"/>
      <c r="Z590" s="2"/>
      <c r="AA590" s="2"/>
      <c r="AB590" s="2"/>
      <c r="AC590" s="2"/>
      <c r="AD590" s="2"/>
      <c r="AE590" s="2"/>
      <c r="AF590" s="2"/>
      <c r="AG590" s="2"/>
      <c r="AH590" s="2"/>
      <c r="AI590" s="2"/>
      <c r="AJ590" s="2"/>
      <c r="AK590" s="2"/>
    </row>
    <row r="591" spans="2:37">
      <c r="B591" s="1" t="s">
        <v>47</v>
      </c>
      <c r="C591" s="337">
        <v>28</v>
      </c>
      <c r="D591" s="336">
        <v>0</v>
      </c>
      <c r="E591" s="327"/>
      <c r="F591" s="742">
        <v>0</v>
      </c>
      <c r="G591" s="742"/>
      <c r="H591" s="330">
        <f t="shared" si="75"/>
        <v>0</v>
      </c>
      <c r="J591" s="742">
        <v>0</v>
      </c>
      <c r="K591" s="742"/>
      <c r="L591" s="330">
        <f t="shared" si="76"/>
        <v>0</v>
      </c>
      <c r="M591" s="2"/>
      <c r="N591" s="2"/>
      <c r="O591" s="2"/>
      <c r="P591" s="2"/>
      <c r="Q591" s="2"/>
      <c r="R591" s="2"/>
      <c r="S591" s="2"/>
      <c r="T591" s="2"/>
      <c r="U591" s="2"/>
      <c r="V591" s="2"/>
      <c r="W591" s="2"/>
      <c r="X591" s="2"/>
      <c r="Y591" s="2"/>
      <c r="Z591" s="2"/>
      <c r="AA591" s="2"/>
      <c r="AB591" s="2"/>
      <c r="AC591" s="2"/>
      <c r="AD591" s="2"/>
      <c r="AE591" s="2"/>
      <c r="AF591" s="2"/>
      <c r="AG591" s="2"/>
      <c r="AH591" s="2"/>
      <c r="AI591" s="2"/>
      <c r="AJ591" s="2"/>
      <c r="AK591" s="2"/>
    </row>
    <row r="592" spans="2:37">
      <c r="B592" s="324" t="s">
        <v>48</v>
      </c>
      <c r="C592" s="338"/>
      <c r="D592" s="331">
        <f>SUM([1]C029!$C$98:$C$111)</f>
        <v>0</v>
      </c>
      <c r="E592" s="327"/>
      <c r="F592" s="748">
        <f>SUM([1]C029!$D$98:$D$111)</f>
        <v>0</v>
      </c>
      <c r="G592" s="735"/>
      <c r="H592" s="332">
        <f t="shared" si="75"/>
        <v>0</v>
      </c>
      <c r="J592" s="748">
        <f>SUM([1]C029!$E$98:$E$111)</f>
        <v>0</v>
      </c>
      <c r="K592" s="735"/>
      <c r="L592" s="332">
        <f t="shared" si="76"/>
        <v>0</v>
      </c>
      <c r="M592" s="2"/>
      <c r="N592" s="2"/>
      <c r="O592" s="2"/>
      <c r="P592" s="2"/>
      <c r="Q592" s="2"/>
      <c r="R592" s="2"/>
      <c r="S592" s="2"/>
      <c r="T592" s="2"/>
      <c r="U592" s="2"/>
      <c r="V592" s="2"/>
      <c r="W592" s="2"/>
      <c r="X592" s="2"/>
      <c r="Y592" s="2"/>
      <c r="Z592" s="2"/>
      <c r="AA592" s="2"/>
      <c r="AB592" s="2"/>
      <c r="AC592" s="2"/>
      <c r="AD592" s="2"/>
      <c r="AE592" s="2"/>
      <c r="AF592" s="2"/>
      <c r="AG592" s="2"/>
      <c r="AH592" s="2"/>
      <c r="AI592" s="2"/>
      <c r="AJ592" s="2"/>
      <c r="AK592" s="2"/>
    </row>
    <row r="593" spans="2:37">
      <c r="B593" s="1" t="s">
        <v>37</v>
      </c>
      <c r="C593" s="337"/>
      <c r="D593" s="334">
        <f>SUM([1]C030!$C$118:$C$128)</f>
        <v>0</v>
      </c>
      <c r="E593" s="327"/>
      <c r="F593" s="743">
        <f>SUM([1]C030!$D$118:$D$128)</f>
        <v>0</v>
      </c>
      <c r="G593" s="742"/>
      <c r="H593" s="330">
        <f t="shared" si="75"/>
        <v>0</v>
      </c>
      <c r="J593" s="743">
        <f>SUM([1]C030!$E$118:$E$128)</f>
        <v>0</v>
      </c>
      <c r="K593" s="742"/>
      <c r="L593" s="330">
        <f t="shared" si="76"/>
        <v>0</v>
      </c>
      <c r="M593" s="2"/>
      <c r="N593" s="2"/>
      <c r="O593" s="2"/>
      <c r="P593" s="2"/>
      <c r="Q593" s="2"/>
      <c r="R593" s="2"/>
      <c r="S593" s="2"/>
      <c r="T593" s="2"/>
      <c r="U593" s="2"/>
      <c r="V593" s="2"/>
      <c r="W593" s="2"/>
      <c r="X593" s="2"/>
      <c r="Y593" s="2"/>
      <c r="Z593" s="2"/>
      <c r="AA593" s="2"/>
      <c r="AB593" s="2"/>
      <c r="AC593" s="2"/>
      <c r="AD593" s="2"/>
      <c r="AE593" s="2"/>
      <c r="AF593" s="2"/>
      <c r="AG593" s="2"/>
      <c r="AH593" s="2"/>
      <c r="AI593" s="2"/>
      <c r="AJ593" s="2"/>
      <c r="AK593" s="2"/>
    </row>
    <row r="594" spans="2:37">
      <c r="B594" s="324" t="s">
        <v>49</v>
      </c>
      <c r="C594" s="338"/>
      <c r="D594" s="339">
        <v>0</v>
      </c>
      <c r="E594" s="327"/>
      <c r="F594" s="735">
        <v>0</v>
      </c>
      <c r="G594" s="735"/>
      <c r="H594" s="332">
        <f t="shared" si="75"/>
        <v>0</v>
      </c>
      <c r="J594" s="735">
        <v>0</v>
      </c>
      <c r="K594" s="735"/>
      <c r="L594" s="332">
        <f t="shared" si="76"/>
        <v>0</v>
      </c>
      <c r="M594" s="2"/>
      <c r="N594" s="2"/>
      <c r="O594" s="2"/>
      <c r="P594" s="2"/>
      <c r="Q594" s="2"/>
      <c r="R594" s="2"/>
      <c r="S594" s="2"/>
      <c r="T594" s="2"/>
      <c r="U594" s="2"/>
      <c r="V594" s="2"/>
      <c r="W594" s="2"/>
      <c r="X594" s="2"/>
      <c r="Y594" s="2"/>
      <c r="Z594" s="2"/>
      <c r="AA594" s="2"/>
      <c r="AB594" s="2"/>
      <c r="AC594" s="2"/>
      <c r="AD594" s="2"/>
      <c r="AE594" s="2"/>
      <c r="AF594" s="2"/>
      <c r="AG594" s="2"/>
      <c r="AH594" s="2"/>
      <c r="AI594" s="2"/>
      <c r="AJ594" s="2"/>
      <c r="AK594" s="2"/>
    </row>
    <row r="595" spans="2:37">
      <c r="B595" s="370" t="str">
        <f>B338</f>
        <v>Career and Postsecondary Ed.</v>
      </c>
      <c r="C595" s="337"/>
      <c r="D595" s="334">
        <f>SUM([1]C034!$C$105:$C$115)</f>
        <v>0</v>
      </c>
      <c r="E595" s="327"/>
      <c r="F595" s="743">
        <f>SUM([1]C034!$D$105:$D$115)</f>
        <v>0</v>
      </c>
      <c r="G595" s="742"/>
      <c r="H595" s="330">
        <f t="shared" si="75"/>
        <v>0</v>
      </c>
      <c r="J595" s="743">
        <f>SUM([1]C034!$E$105:$E$115)</f>
        <v>0</v>
      </c>
      <c r="K595" s="742"/>
      <c r="L595" s="330">
        <f t="shared" si="76"/>
        <v>0</v>
      </c>
      <c r="M595" s="2"/>
      <c r="N595" s="2"/>
      <c r="O595" s="2"/>
      <c r="P595" s="2"/>
      <c r="Q595" s="2"/>
      <c r="R595" s="2"/>
      <c r="S595" s="2"/>
      <c r="T595" s="2"/>
      <c r="U595" s="2"/>
      <c r="V595" s="2"/>
      <c r="W595" s="2"/>
      <c r="X595" s="2"/>
      <c r="Y595" s="2"/>
      <c r="Z595" s="2"/>
      <c r="AA595" s="2"/>
      <c r="AB595" s="2"/>
      <c r="AC595" s="2"/>
      <c r="AD595" s="2"/>
      <c r="AE595" s="2"/>
      <c r="AF595" s="2"/>
      <c r="AG595" s="2"/>
      <c r="AH595" s="2"/>
      <c r="AI595" s="2"/>
      <c r="AJ595" s="2"/>
      <c r="AK595" s="2"/>
    </row>
    <row r="596" spans="2:37" ht="15.75">
      <c r="B596" s="324" t="s">
        <v>178</v>
      </c>
      <c r="C596" s="338"/>
      <c r="D596" s="331">
        <f>SUM([1]C035!$C$125:$C$138)</f>
        <v>0</v>
      </c>
      <c r="E596" s="327"/>
      <c r="F596" s="748">
        <f>SUM([1]C035!$D$125:$D$138)</f>
        <v>947</v>
      </c>
      <c r="G596" s="735"/>
      <c r="H596" s="332">
        <f t="shared" si="75"/>
        <v>0</v>
      </c>
      <c r="J596" s="748">
        <f>SUM([1]C035!$E$125:$E$138)</f>
        <v>0</v>
      </c>
      <c r="K596" s="735"/>
      <c r="L596" s="332">
        <f t="shared" si="76"/>
        <v>-1</v>
      </c>
      <c r="M596" s="2"/>
      <c r="N596" s="2"/>
      <c r="O596" s="2"/>
      <c r="P596" s="2"/>
      <c r="Q596" s="2"/>
      <c r="R596" s="2"/>
      <c r="S596" s="2"/>
      <c r="T596" s="2"/>
      <c r="U596" s="2"/>
      <c r="V596" s="2"/>
      <c r="W596" s="2"/>
      <c r="X596" s="2"/>
      <c r="Y596" s="2"/>
      <c r="Z596" s="2"/>
      <c r="AA596" s="2"/>
      <c r="AB596" s="2"/>
      <c r="AC596" s="2"/>
      <c r="AD596" s="2"/>
      <c r="AE596" s="2"/>
      <c r="AF596" s="2"/>
      <c r="AG596" s="2"/>
      <c r="AH596" s="2"/>
      <c r="AI596" s="2"/>
      <c r="AJ596" s="2"/>
      <c r="AK596" s="2"/>
    </row>
    <row r="597" spans="2:37">
      <c r="B597" s="1" t="s">
        <v>75</v>
      </c>
      <c r="C597" s="337">
        <v>42</v>
      </c>
      <c r="D597" s="336">
        <v>0</v>
      </c>
      <c r="E597" s="327"/>
      <c r="F597" s="742">
        <v>0</v>
      </c>
      <c r="G597" s="742"/>
      <c r="H597" s="330">
        <f t="shared" si="75"/>
        <v>0</v>
      </c>
      <c r="J597" s="742">
        <v>0</v>
      </c>
      <c r="K597" s="742"/>
      <c r="L597" s="330">
        <f t="shared" si="76"/>
        <v>0</v>
      </c>
      <c r="M597" s="2"/>
      <c r="N597" s="2"/>
      <c r="O597" s="2"/>
      <c r="P597" s="2"/>
      <c r="Q597" s="2"/>
      <c r="R597" s="2"/>
      <c r="S597" s="2"/>
      <c r="T597" s="2"/>
      <c r="U597" s="2"/>
      <c r="V597" s="2"/>
      <c r="W597" s="2"/>
      <c r="X597" s="2"/>
      <c r="Y597" s="2"/>
      <c r="Z597" s="2"/>
      <c r="AA597" s="2"/>
      <c r="AB597" s="2"/>
      <c r="AC597" s="2"/>
      <c r="AD597" s="2"/>
      <c r="AE597" s="2"/>
      <c r="AF597" s="2"/>
      <c r="AG597" s="2"/>
      <c r="AH597" s="2"/>
      <c r="AI597" s="2"/>
      <c r="AJ597" s="2"/>
      <c r="AK597" s="2"/>
    </row>
    <row r="598" spans="2:37">
      <c r="B598" s="324" t="s">
        <v>51</v>
      </c>
      <c r="C598" s="338">
        <v>44</v>
      </c>
      <c r="D598" s="339">
        <v>0</v>
      </c>
      <c r="E598" s="327"/>
      <c r="F598" s="735">
        <v>0</v>
      </c>
      <c r="G598" s="735"/>
      <c r="H598" s="332">
        <f t="shared" si="75"/>
        <v>0</v>
      </c>
      <c r="J598" s="735">
        <v>0</v>
      </c>
      <c r="K598" s="735"/>
      <c r="L598" s="332">
        <f t="shared" si="76"/>
        <v>0</v>
      </c>
      <c r="M598" s="2"/>
      <c r="N598" s="2"/>
      <c r="O598" s="2"/>
      <c r="P598" s="2"/>
      <c r="Q598" s="2"/>
      <c r="R598" s="2"/>
      <c r="S598" s="2"/>
      <c r="T598" s="2"/>
      <c r="U598" s="2"/>
      <c r="V598" s="2"/>
      <c r="W598" s="2"/>
      <c r="X598" s="2"/>
      <c r="Y598" s="2"/>
      <c r="Z598" s="2"/>
      <c r="AA598" s="2"/>
      <c r="AB598" s="2"/>
      <c r="AC598" s="2"/>
      <c r="AD598" s="2"/>
      <c r="AE598" s="2"/>
      <c r="AF598" s="2"/>
      <c r="AG598" s="2"/>
      <c r="AH598" s="2"/>
      <c r="AI598" s="2"/>
      <c r="AJ598" s="2"/>
      <c r="AK598" s="2"/>
    </row>
    <row r="599" spans="2:37">
      <c r="B599" s="45" t="s">
        <v>52</v>
      </c>
      <c r="C599" s="340">
        <v>45</v>
      </c>
      <c r="D599" s="341">
        <v>0</v>
      </c>
      <c r="E599" s="327"/>
      <c r="F599" s="742">
        <v>0</v>
      </c>
      <c r="G599" s="742"/>
      <c r="H599" s="330">
        <f t="shared" si="75"/>
        <v>0</v>
      </c>
      <c r="J599" s="742">
        <v>0</v>
      </c>
      <c r="K599" s="742"/>
      <c r="L599" s="330">
        <f t="shared" si="76"/>
        <v>0</v>
      </c>
      <c r="M599" s="2"/>
      <c r="N599" s="2"/>
      <c r="O599" s="2"/>
      <c r="P599" s="2"/>
      <c r="Q599" s="2"/>
      <c r="R599" s="2"/>
      <c r="S599" s="2"/>
      <c r="T599" s="2"/>
      <c r="U599" s="2"/>
      <c r="V599" s="2"/>
      <c r="W599" s="2"/>
      <c r="X599" s="2"/>
      <c r="Y599" s="2"/>
      <c r="Z599" s="2"/>
      <c r="AA599" s="2"/>
      <c r="AB599" s="2"/>
      <c r="AC599" s="2"/>
      <c r="AD599" s="2"/>
      <c r="AE599" s="2"/>
      <c r="AF599" s="2"/>
      <c r="AG599" s="2"/>
      <c r="AH599" s="2"/>
      <c r="AI599" s="2"/>
      <c r="AJ599" s="2"/>
      <c r="AK599" s="2"/>
    </row>
    <row r="600" spans="2:37">
      <c r="B600" s="342" t="s">
        <v>72</v>
      </c>
      <c r="C600" s="343">
        <v>46</v>
      </c>
      <c r="D600" s="344">
        <v>0</v>
      </c>
      <c r="E600" s="327"/>
      <c r="F600" s="735">
        <v>0</v>
      </c>
      <c r="G600" s="735"/>
      <c r="H600" s="332">
        <f t="shared" si="75"/>
        <v>0</v>
      </c>
      <c r="J600" s="761"/>
      <c r="K600" s="762"/>
      <c r="L600" s="345"/>
      <c r="M600" s="2"/>
      <c r="N600" s="2"/>
      <c r="O600" s="2"/>
      <c r="P600" s="2"/>
      <c r="Q600" s="2"/>
      <c r="R600" s="2"/>
      <c r="S600" s="2"/>
      <c r="T600" s="2"/>
      <c r="U600" s="2"/>
      <c r="V600" s="2"/>
      <c r="W600" s="2"/>
      <c r="X600" s="2"/>
      <c r="Y600" s="2"/>
      <c r="Z600" s="2"/>
      <c r="AA600" s="2"/>
      <c r="AB600" s="2"/>
      <c r="AC600" s="2"/>
      <c r="AD600" s="2"/>
      <c r="AE600" s="2"/>
      <c r="AF600" s="2"/>
      <c r="AG600" s="2"/>
      <c r="AH600" s="2"/>
      <c r="AI600" s="2"/>
      <c r="AJ600" s="2"/>
      <c r="AK600" s="2"/>
    </row>
    <row r="601" spans="2:37">
      <c r="B601" s="45" t="s">
        <v>54</v>
      </c>
      <c r="C601" s="340"/>
      <c r="D601" s="329">
        <f>[1]C051!$C$27</f>
        <v>7893</v>
      </c>
      <c r="E601" s="327"/>
      <c r="F601" s="743">
        <f>[1]C051!$D$27</f>
        <v>7337</v>
      </c>
      <c r="G601" s="742"/>
      <c r="H601" s="330">
        <f t="shared" si="75"/>
        <v>-7.0000000000000007E-2</v>
      </c>
      <c r="J601" s="743">
        <f>[1]C051!$E$27</f>
        <v>4567</v>
      </c>
      <c r="K601" s="742"/>
      <c r="L601" s="330">
        <f>IF(F601=0,0,((J601-F601)/F601))</f>
        <v>-0.38</v>
      </c>
      <c r="M601" s="2"/>
      <c r="N601" s="2"/>
      <c r="O601" s="2"/>
      <c r="P601" s="2"/>
      <c r="Q601" s="2"/>
      <c r="R601" s="2"/>
      <c r="S601" s="2"/>
      <c r="T601" s="2"/>
      <c r="U601" s="2"/>
      <c r="V601" s="2"/>
      <c r="W601" s="2"/>
      <c r="X601" s="2"/>
      <c r="Y601" s="2"/>
      <c r="Z601" s="2"/>
      <c r="AA601" s="2"/>
      <c r="AB601" s="2"/>
      <c r="AC601" s="2"/>
      <c r="AD601" s="2"/>
      <c r="AE601" s="2"/>
      <c r="AF601" s="2"/>
      <c r="AG601" s="2"/>
      <c r="AH601" s="2"/>
      <c r="AI601" s="2"/>
      <c r="AJ601" s="2"/>
      <c r="AK601" s="2"/>
    </row>
    <row r="602" spans="2:37">
      <c r="B602" s="342" t="s">
        <v>55</v>
      </c>
      <c r="C602" s="343"/>
      <c r="D602" s="346">
        <f>SUM([1]C053!$C$104:$C$117)</f>
        <v>0</v>
      </c>
      <c r="E602" s="327"/>
      <c r="F602" s="748">
        <f>SUM([1]C053!$D$104:$D$117)</f>
        <v>0</v>
      </c>
      <c r="G602" s="735"/>
      <c r="H602" s="332">
        <f t="shared" si="75"/>
        <v>0</v>
      </c>
      <c r="J602" s="763"/>
      <c r="K602" s="764"/>
      <c r="L602" s="347"/>
      <c r="M602" s="2"/>
      <c r="N602" s="2"/>
      <c r="O602" s="2"/>
      <c r="P602" s="2"/>
      <c r="Q602" s="2"/>
      <c r="R602" s="2"/>
      <c r="S602" s="2"/>
      <c r="T602" s="2"/>
      <c r="U602" s="2"/>
      <c r="V602" s="2"/>
      <c r="W602" s="2"/>
      <c r="X602" s="2"/>
      <c r="Y602" s="2"/>
      <c r="Z602" s="2"/>
      <c r="AA602" s="2"/>
      <c r="AB602" s="2"/>
      <c r="AC602" s="2"/>
      <c r="AD602" s="2"/>
      <c r="AE602" s="2"/>
      <c r="AF602" s="2"/>
      <c r="AG602" s="2"/>
      <c r="AH602" s="2"/>
      <c r="AI602" s="2"/>
      <c r="AJ602" s="2"/>
      <c r="AK602" s="2"/>
    </row>
    <row r="603" spans="2:37">
      <c r="B603" s="45" t="s">
        <v>56</v>
      </c>
      <c r="C603" s="340">
        <v>54</v>
      </c>
      <c r="D603" s="341">
        <v>0</v>
      </c>
      <c r="E603" s="327"/>
      <c r="F603" s="742">
        <v>0</v>
      </c>
      <c r="G603" s="742"/>
      <c r="H603" s="330">
        <f t="shared" si="75"/>
        <v>0</v>
      </c>
      <c r="J603" s="757"/>
      <c r="K603" s="758"/>
      <c r="L603" s="348"/>
      <c r="M603" s="2"/>
      <c r="N603" s="2"/>
      <c r="O603" s="2"/>
      <c r="P603" s="2"/>
      <c r="Q603" s="2"/>
      <c r="R603" s="2"/>
      <c r="S603" s="2"/>
      <c r="T603" s="2"/>
      <c r="U603" s="2"/>
      <c r="V603" s="2"/>
      <c r="W603" s="2"/>
      <c r="X603" s="2"/>
      <c r="Y603" s="2"/>
      <c r="Z603" s="2"/>
      <c r="AA603" s="2"/>
      <c r="AB603" s="2"/>
      <c r="AC603" s="2"/>
      <c r="AD603" s="2"/>
      <c r="AE603" s="2"/>
      <c r="AF603" s="2"/>
      <c r="AG603" s="2"/>
      <c r="AH603" s="2"/>
      <c r="AI603" s="2"/>
      <c r="AJ603" s="2"/>
      <c r="AK603" s="2"/>
    </row>
    <row r="604" spans="2:37">
      <c r="B604" s="342" t="s">
        <v>57</v>
      </c>
      <c r="C604" s="343"/>
      <c r="D604" s="344">
        <v>0</v>
      </c>
      <c r="E604" s="327"/>
      <c r="F604" s="735">
        <v>0</v>
      </c>
      <c r="G604" s="735"/>
      <c r="H604" s="332">
        <f t="shared" si="75"/>
        <v>0</v>
      </c>
      <c r="J604" s="759"/>
      <c r="K604" s="760"/>
      <c r="L604" s="349"/>
      <c r="M604" s="2"/>
      <c r="N604" s="2"/>
      <c r="O604" s="2"/>
      <c r="P604" s="2"/>
      <c r="Q604" s="2"/>
      <c r="R604" s="2"/>
      <c r="S604" s="2"/>
      <c r="T604" s="2"/>
      <c r="U604" s="2"/>
      <c r="V604" s="2"/>
      <c r="W604" s="2"/>
      <c r="X604" s="2"/>
      <c r="Y604" s="2"/>
      <c r="Z604" s="2"/>
      <c r="AA604" s="2"/>
      <c r="AB604" s="2"/>
      <c r="AC604" s="2"/>
      <c r="AD604" s="2"/>
      <c r="AE604" s="2"/>
      <c r="AF604" s="2"/>
      <c r="AG604" s="2"/>
      <c r="AH604" s="2"/>
      <c r="AI604" s="2"/>
      <c r="AJ604" s="2"/>
      <c r="AK604" s="2"/>
    </row>
    <row r="605" spans="2:37">
      <c r="B605" s="350" t="str">
        <f>B1118</f>
        <v>Bond and Interest #1</v>
      </c>
      <c r="C605" s="340">
        <v>62</v>
      </c>
      <c r="D605" s="341">
        <v>0</v>
      </c>
      <c r="E605" s="327"/>
      <c r="F605" s="742">
        <v>0</v>
      </c>
      <c r="G605" s="742"/>
      <c r="H605" s="330">
        <f t="shared" si="75"/>
        <v>0</v>
      </c>
      <c r="J605" s="742">
        <v>0</v>
      </c>
      <c r="K605" s="742"/>
      <c r="L605" s="330">
        <f t="shared" ref="L605:L616" si="77">IF(F605=0,0,((J605-F605)/F605))</f>
        <v>0</v>
      </c>
      <c r="M605" s="2"/>
      <c r="N605" s="2"/>
      <c r="O605" s="2"/>
      <c r="P605" s="2"/>
      <c r="Q605" s="2"/>
      <c r="R605" s="2"/>
      <c r="S605" s="2"/>
      <c r="T605" s="2"/>
      <c r="U605" s="2"/>
      <c r="V605" s="2"/>
      <c r="W605" s="2"/>
      <c r="X605" s="2"/>
      <c r="Y605" s="2"/>
      <c r="Z605" s="2"/>
      <c r="AA605" s="2"/>
      <c r="AB605" s="2"/>
      <c r="AC605" s="2"/>
      <c r="AD605" s="2"/>
      <c r="AE605" s="2"/>
      <c r="AF605" s="2"/>
      <c r="AG605" s="2"/>
      <c r="AH605" s="2"/>
      <c r="AI605" s="2"/>
      <c r="AJ605" s="2"/>
      <c r="AK605" s="2"/>
    </row>
    <row r="606" spans="2:37">
      <c r="B606" s="351" t="str">
        <f>B1119</f>
        <v>Bond and Interest #2</v>
      </c>
      <c r="C606" s="343">
        <v>63</v>
      </c>
      <c r="D606" s="344">
        <v>0</v>
      </c>
      <c r="E606" s="327"/>
      <c r="F606" s="735">
        <v>0</v>
      </c>
      <c r="G606" s="735"/>
      <c r="H606" s="332">
        <f t="shared" si="75"/>
        <v>0</v>
      </c>
      <c r="J606" s="735">
        <v>0</v>
      </c>
      <c r="K606" s="735"/>
      <c r="L606" s="332">
        <f t="shared" si="77"/>
        <v>0</v>
      </c>
      <c r="M606" s="2"/>
      <c r="N606" s="2"/>
      <c r="O606" s="2"/>
      <c r="P606" s="2"/>
      <c r="Q606" s="2"/>
      <c r="R606" s="2"/>
      <c r="S606" s="2"/>
      <c r="T606" s="2"/>
      <c r="U606" s="2"/>
      <c r="V606" s="2"/>
      <c r="W606" s="2"/>
      <c r="X606" s="2"/>
      <c r="Y606" s="2"/>
      <c r="Z606" s="2"/>
      <c r="AA606" s="2"/>
      <c r="AB606" s="2"/>
      <c r="AC606" s="2"/>
      <c r="AD606" s="2"/>
      <c r="AE606" s="2"/>
      <c r="AF606" s="2"/>
      <c r="AG606" s="2"/>
      <c r="AH606" s="2"/>
      <c r="AI606" s="2"/>
      <c r="AJ606" s="2"/>
      <c r="AK606" s="2"/>
    </row>
    <row r="607" spans="2:37">
      <c r="B607" s="45" t="s">
        <v>58</v>
      </c>
      <c r="C607" s="340">
        <v>66</v>
      </c>
      <c r="D607" s="341">
        <v>0</v>
      </c>
      <c r="E607" s="327"/>
      <c r="F607" s="742">
        <v>0</v>
      </c>
      <c r="G607" s="742"/>
      <c r="H607" s="330">
        <f t="shared" si="75"/>
        <v>0</v>
      </c>
      <c r="J607" s="742">
        <v>0</v>
      </c>
      <c r="K607" s="742"/>
      <c r="L607" s="330">
        <f t="shared" si="77"/>
        <v>0</v>
      </c>
      <c r="M607" s="2"/>
      <c r="N607" s="2"/>
      <c r="O607" s="2"/>
      <c r="P607" s="2"/>
      <c r="Q607" s="2"/>
      <c r="R607" s="2"/>
      <c r="S607" s="2"/>
      <c r="T607" s="2"/>
      <c r="U607" s="2"/>
      <c r="V607" s="2"/>
      <c r="W607" s="2"/>
      <c r="X607" s="2"/>
      <c r="Y607" s="2"/>
      <c r="Z607" s="2"/>
      <c r="AA607" s="2"/>
      <c r="AB607" s="2"/>
      <c r="AC607" s="2"/>
      <c r="AD607" s="2"/>
      <c r="AE607" s="2"/>
      <c r="AF607" s="2"/>
      <c r="AG607" s="2"/>
      <c r="AH607" s="2"/>
      <c r="AI607" s="2"/>
      <c r="AJ607" s="2"/>
      <c r="AK607" s="2"/>
    </row>
    <row r="608" spans="2:37">
      <c r="B608" s="342" t="s">
        <v>59</v>
      </c>
      <c r="C608" s="343">
        <v>67</v>
      </c>
      <c r="D608" s="344">
        <v>0</v>
      </c>
      <c r="E608" s="327"/>
      <c r="F608" s="735">
        <v>0</v>
      </c>
      <c r="G608" s="735"/>
      <c r="H608" s="332">
        <f t="shared" si="75"/>
        <v>0</v>
      </c>
      <c r="J608" s="735">
        <v>0</v>
      </c>
      <c r="K608" s="735"/>
      <c r="L608" s="332">
        <f t="shared" si="77"/>
        <v>0</v>
      </c>
      <c r="M608" s="2"/>
      <c r="N608" s="2"/>
      <c r="O608" s="2"/>
      <c r="P608" s="2"/>
      <c r="Q608" s="2"/>
      <c r="R608" s="2"/>
      <c r="S608" s="2"/>
      <c r="T608" s="2"/>
      <c r="U608" s="2"/>
      <c r="V608" s="2"/>
      <c r="W608" s="2"/>
      <c r="X608" s="2"/>
      <c r="Y608" s="2"/>
      <c r="Z608" s="2"/>
      <c r="AA608" s="2"/>
      <c r="AB608" s="2"/>
      <c r="AC608" s="2"/>
      <c r="AD608" s="2"/>
      <c r="AE608" s="2"/>
      <c r="AF608" s="2"/>
      <c r="AG608" s="2"/>
      <c r="AH608" s="2"/>
      <c r="AI608" s="2"/>
      <c r="AJ608" s="2"/>
      <c r="AK608" s="2"/>
    </row>
    <row r="609" spans="2:37" ht="15" thickBot="1">
      <c r="B609" s="45" t="s">
        <v>60</v>
      </c>
      <c r="C609" s="340">
        <v>68</v>
      </c>
      <c r="D609" s="341">
        <v>0</v>
      </c>
      <c r="E609" s="327"/>
      <c r="F609" s="755">
        <v>0</v>
      </c>
      <c r="G609" s="756"/>
      <c r="H609" s="247">
        <f t="shared" si="75"/>
        <v>0</v>
      </c>
      <c r="J609" s="755">
        <v>0</v>
      </c>
      <c r="K609" s="756"/>
      <c r="L609" s="247">
        <f t="shared" si="77"/>
        <v>0</v>
      </c>
      <c r="M609" s="2"/>
      <c r="N609" s="2"/>
      <c r="O609" s="2"/>
      <c r="P609" s="2"/>
      <c r="Q609" s="2"/>
      <c r="R609" s="2"/>
      <c r="S609" s="2"/>
      <c r="T609" s="2"/>
      <c r="U609" s="2"/>
      <c r="V609" s="2"/>
      <c r="W609" s="2"/>
      <c r="X609" s="2"/>
      <c r="Y609" s="2"/>
      <c r="Z609" s="2"/>
      <c r="AA609" s="2"/>
      <c r="AB609" s="2"/>
      <c r="AC609" s="2"/>
      <c r="AD609" s="2"/>
      <c r="AE609" s="2"/>
      <c r="AF609" s="2"/>
      <c r="AG609" s="2"/>
      <c r="AH609" s="2"/>
      <c r="AI609" s="2"/>
      <c r="AJ609" s="2"/>
      <c r="AK609" s="2"/>
    </row>
    <row r="610" spans="2:37" ht="15" thickTop="1">
      <c r="B610" s="353" t="s">
        <v>61</v>
      </c>
      <c r="C610" s="353"/>
      <c r="D610" s="371">
        <f>SUM(D578:D609)</f>
        <v>118668</v>
      </c>
      <c r="E610" s="327"/>
      <c r="F610" s="667">
        <f>SUM(F578:G609)</f>
        <v>140183</v>
      </c>
      <c r="G610" s="668"/>
      <c r="H610" s="372">
        <f t="shared" si="75"/>
        <v>0.18</v>
      </c>
      <c r="J610" s="667">
        <f>SUM(J578:K609)</f>
        <v>118317</v>
      </c>
      <c r="K610" s="668"/>
      <c r="L610" s="372">
        <f t="shared" si="77"/>
        <v>-0.16</v>
      </c>
      <c r="M610" s="2"/>
      <c r="N610" s="2"/>
      <c r="O610" s="2"/>
      <c r="P610" s="2"/>
      <c r="Q610" s="2"/>
      <c r="R610" s="2"/>
      <c r="S610" s="2"/>
      <c r="T610" s="2"/>
      <c r="U610" s="2"/>
      <c r="V610" s="2"/>
      <c r="W610" s="2"/>
      <c r="X610" s="2"/>
      <c r="Y610" s="2"/>
      <c r="Z610" s="2"/>
      <c r="AA610" s="2"/>
      <c r="AB610" s="2"/>
      <c r="AC610" s="2"/>
      <c r="AD610" s="2"/>
      <c r="AE610" s="2"/>
      <c r="AF610" s="2"/>
      <c r="AG610" s="2"/>
      <c r="AH610" s="2"/>
      <c r="AI610" s="2"/>
      <c r="AJ610" s="2"/>
      <c r="AK610" s="2"/>
    </row>
    <row r="611" spans="2:37" ht="15.75">
      <c r="B611" s="45" t="s">
        <v>181</v>
      </c>
      <c r="C611" s="45"/>
      <c r="D611" s="356">
        <f>G1312</f>
        <v>70.7</v>
      </c>
      <c r="E611" s="327"/>
      <c r="F611" s="665">
        <f>I1312</f>
        <v>82.5</v>
      </c>
      <c r="G611" s="666"/>
      <c r="H611" s="247">
        <f t="shared" si="75"/>
        <v>0.17</v>
      </c>
      <c r="J611" s="665">
        <f>K1312</f>
        <v>70</v>
      </c>
      <c r="K611" s="666"/>
      <c r="L611" s="247">
        <f t="shared" si="77"/>
        <v>-0.15</v>
      </c>
      <c r="M611" s="2"/>
      <c r="N611" s="2"/>
      <c r="O611" s="2"/>
      <c r="P611" s="2"/>
      <c r="Q611" s="2"/>
      <c r="R611" s="2"/>
      <c r="S611" s="2"/>
      <c r="T611" s="2"/>
      <c r="U611" s="2"/>
      <c r="V611" s="2"/>
      <c r="W611" s="2"/>
      <c r="X611" s="2"/>
      <c r="Y611" s="2"/>
      <c r="Z611" s="2"/>
      <c r="AA611" s="2"/>
      <c r="AB611" s="2"/>
      <c r="AC611" s="2"/>
      <c r="AD611" s="2"/>
      <c r="AE611" s="2"/>
      <c r="AF611" s="2"/>
      <c r="AG611" s="2"/>
      <c r="AH611" s="2"/>
      <c r="AI611" s="2"/>
      <c r="AJ611" s="2"/>
      <c r="AK611" s="2"/>
    </row>
    <row r="612" spans="2:37" ht="16.5" thickBot="1">
      <c r="B612" s="342" t="s">
        <v>182</v>
      </c>
      <c r="C612" s="342"/>
      <c r="D612" s="346">
        <f>IF(D610=0,0,D610/D611)</f>
        <v>1678</v>
      </c>
      <c r="E612" s="327"/>
      <c r="F612" s="753">
        <f>IF(F610=0,0,F610/F611)</f>
        <v>1699</v>
      </c>
      <c r="G612" s="754"/>
      <c r="H612" s="357">
        <f t="shared" si="75"/>
        <v>0.01</v>
      </c>
      <c r="J612" s="753">
        <f>IF(J610=0,0,J610/J611)</f>
        <v>1690</v>
      </c>
      <c r="K612" s="754"/>
      <c r="L612" s="357">
        <f t="shared" si="77"/>
        <v>-0.01</v>
      </c>
      <c r="M612" s="2"/>
      <c r="N612" s="2"/>
      <c r="O612" s="2"/>
      <c r="P612" s="2"/>
      <c r="Q612" s="2"/>
      <c r="R612" s="2"/>
      <c r="S612" s="2"/>
      <c r="T612" s="2"/>
      <c r="U612" s="2"/>
      <c r="V612" s="2"/>
      <c r="W612" s="2"/>
      <c r="X612" s="2"/>
      <c r="Y612" s="2"/>
      <c r="Z612" s="2"/>
      <c r="AA612" s="2"/>
      <c r="AB612" s="2"/>
      <c r="AC612" s="2"/>
      <c r="AD612" s="2"/>
      <c r="AE612" s="2"/>
      <c r="AF612" s="2"/>
      <c r="AG612" s="2"/>
      <c r="AH612" s="2"/>
      <c r="AI612" s="2"/>
      <c r="AJ612" s="2"/>
      <c r="AK612" s="2"/>
    </row>
    <row r="613" spans="2:37">
      <c r="B613" s="358" t="s">
        <v>63</v>
      </c>
      <c r="C613" s="358">
        <v>10</v>
      </c>
      <c r="D613" s="389">
        <v>0</v>
      </c>
      <c r="E613" s="327"/>
      <c r="F613" s="755">
        <v>0</v>
      </c>
      <c r="G613" s="756"/>
      <c r="H613" s="360">
        <f t="shared" si="75"/>
        <v>0</v>
      </c>
      <c r="J613" s="755">
        <v>0</v>
      </c>
      <c r="K613" s="756"/>
      <c r="L613" s="360">
        <f t="shared" si="77"/>
        <v>0</v>
      </c>
      <c r="M613" s="2"/>
      <c r="N613" s="2"/>
      <c r="O613" s="2"/>
      <c r="P613" s="2"/>
      <c r="Q613" s="2"/>
      <c r="R613" s="2"/>
      <c r="S613" s="2"/>
      <c r="T613" s="2"/>
      <c r="U613" s="2"/>
      <c r="V613" s="2"/>
      <c r="W613" s="2"/>
      <c r="X613" s="2"/>
      <c r="Y613" s="2"/>
      <c r="Z613" s="2"/>
      <c r="AA613" s="2"/>
      <c r="AB613" s="2"/>
      <c r="AC613" s="2"/>
      <c r="AD613" s="2"/>
      <c r="AE613" s="2"/>
      <c r="AF613" s="2"/>
      <c r="AG613" s="2"/>
      <c r="AH613" s="2"/>
      <c r="AI613" s="2"/>
      <c r="AJ613" s="2"/>
      <c r="AK613" s="2"/>
    </row>
    <row r="614" spans="2:37">
      <c r="B614" s="342" t="s">
        <v>64</v>
      </c>
      <c r="C614" s="342">
        <v>12</v>
      </c>
      <c r="D614" s="331">
        <f>SUM([1]C012!$C$90:$C$100)</f>
        <v>0</v>
      </c>
      <c r="E614" s="327"/>
      <c r="F614" s="656">
        <f>SUM([1]C012!$D$90:$D$100)</f>
        <v>0</v>
      </c>
      <c r="G614" s="655"/>
      <c r="H614" s="332">
        <f t="shared" si="75"/>
        <v>0</v>
      </c>
      <c r="J614" s="656">
        <f>SUM([1]C012!$E$90:$E$100)</f>
        <v>0</v>
      </c>
      <c r="K614" s="655"/>
      <c r="L614" s="332">
        <f t="shared" si="77"/>
        <v>0</v>
      </c>
      <c r="M614" s="2"/>
      <c r="N614" s="2"/>
      <c r="O614" s="2"/>
      <c r="P614" s="2"/>
      <c r="Q614" s="2"/>
      <c r="R614" s="2"/>
      <c r="S614" s="2"/>
      <c r="T614" s="2"/>
      <c r="U614" s="2"/>
      <c r="V614" s="2"/>
      <c r="W614" s="2"/>
      <c r="X614" s="2"/>
      <c r="Y614" s="2"/>
      <c r="Z614" s="2"/>
      <c r="AA614" s="2"/>
      <c r="AB614" s="2"/>
      <c r="AC614" s="2"/>
      <c r="AD614" s="2"/>
      <c r="AE614" s="2"/>
      <c r="AF614" s="2"/>
      <c r="AG614" s="2"/>
      <c r="AH614" s="2"/>
      <c r="AI614" s="2"/>
      <c r="AJ614" s="2"/>
      <c r="AK614" s="2"/>
    </row>
    <row r="615" spans="2:37" ht="15" thickBot="1">
      <c r="B615" s="361" t="s">
        <v>65</v>
      </c>
      <c r="C615" s="361"/>
      <c r="D615" s="362">
        <f>SUM([1]C078!$C$109:$C$119)</f>
        <v>0</v>
      </c>
      <c r="E615" s="327"/>
      <c r="F615" s="749">
        <f>SUM([1]C078!$D$109:$D$119)</f>
        <v>0</v>
      </c>
      <c r="G615" s="750"/>
      <c r="H615" s="363">
        <f t="shared" si="75"/>
        <v>0</v>
      </c>
      <c r="J615" s="749">
        <f>SUM([1]C078!$E$109:$E$119)</f>
        <v>0</v>
      </c>
      <c r="K615" s="750"/>
      <c r="L615" s="363">
        <f t="shared" si="77"/>
        <v>0</v>
      </c>
      <c r="M615" s="2"/>
      <c r="N615" s="2"/>
      <c r="O615" s="2"/>
      <c r="P615" s="2"/>
      <c r="Q615" s="2"/>
      <c r="R615" s="2"/>
      <c r="S615" s="2"/>
      <c r="T615" s="2"/>
      <c r="U615" s="2"/>
      <c r="V615" s="2"/>
      <c r="W615" s="2"/>
      <c r="X615" s="2"/>
      <c r="Y615" s="2"/>
      <c r="Z615" s="2"/>
      <c r="AA615" s="2"/>
      <c r="AB615" s="2"/>
      <c r="AC615" s="2"/>
      <c r="AD615" s="2"/>
      <c r="AE615" s="2"/>
      <c r="AF615" s="2"/>
      <c r="AG615" s="2"/>
      <c r="AH615" s="2"/>
      <c r="AI615" s="2"/>
      <c r="AJ615" s="2"/>
      <c r="AK615" s="2"/>
    </row>
    <row r="616" spans="2:37" ht="15" thickTop="1">
      <c r="B616" s="365" t="s">
        <v>66</v>
      </c>
      <c r="C616" s="365"/>
      <c r="D616" s="373">
        <f>SUM(D613:D615,D610)</f>
        <v>118668</v>
      </c>
      <c r="E616" s="327"/>
      <c r="F616" s="751">
        <f>SUM(F613:G615,F610)</f>
        <v>140183</v>
      </c>
      <c r="G616" s="752"/>
      <c r="H616" s="374">
        <f t="shared" si="75"/>
        <v>0.18</v>
      </c>
      <c r="J616" s="751">
        <f>SUM(J613:K615,J610)</f>
        <v>118317</v>
      </c>
      <c r="K616" s="752"/>
      <c r="L616" s="374">
        <f t="shared" si="77"/>
        <v>-0.16</v>
      </c>
      <c r="M616" s="2"/>
      <c r="N616" s="2"/>
      <c r="O616" s="2"/>
      <c r="P616" s="2"/>
      <c r="Q616" s="2"/>
      <c r="R616" s="2"/>
      <c r="S616" s="2"/>
      <c r="T616" s="2"/>
      <c r="U616" s="2"/>
      <c r="V616" s="2"/>
      <c r="W616" s="2"/>
      <c r="X616" s="2"/>
      <c r="Y616" s="2"/>
      <c r="Z616" s="2"/>
      <c r="AA616" s="2"/>
      <c r="AB616" s="2"/>
      <c r="AC616" s="2"/>
      <c r="AD616" s="2"/>
      <c r="AE616" s="2"/>
      <c r="AF616" s="2"/>
      <c r="AG616" s="2"/>
      <c r="AH616" s="2"/>
      <c r="AI616" s="2"/>
      <c r="AJ616" s="2"/>
      <c r="AK616" s="2"/>
    </row>
    <row r="617" spans="2:37" ht="6.75" customHeight="1">
      <c r="B617" s="2"/>
      <c r="C617" s="2"/>
      <c r="D617" s="159"/>
      <c r="E617" s="2"/>
      <c r="F617" s="159"/>
      <c r="G617" s="2"/>
      <c r="H617" s="2"/>
      <c r="I617" s="2"/>
      <c r="J617" s="2"/>
      <c r="K617" s="2"/>
      <c r="L617" s="2"/>
      <c r="M617" s="2"/>
      <c r="N617" s="2"/>
      <c r="O617" s="2"/>
      <c r="P617" s="2"/>
      <c r="Q617" s="2"/>
      <c r="R617" s="2"/>
      <c r="S617" s="2"/>
      <c r="T617" s="2"/>
      <c r="U617" s="2"/>
      <c r="V617" s="2"/>
      <c r="W617" s="2"/>
      <c r="X617" s="2"/>
      <c r="Y617" s="2"/>
      <c r="Z617" s="2"/>
      <c r="AA617" s="2"/>
      <c r="AB617" s="2"/>
      <c r="AC617" s="2"/>
      <c r="AD617" s="2"/>
      <c r="AE617" s="2"/>
      <c r="AF617" s="2"/>
      <c r="AG617" s="2"/>
      <c r="AH617" s="2"/>
      <c r="AI617" s="2"/>
      <c r="AJ617" s="2"/>
      <c r="AK617" s="2"/>
    </row>
    <row r="618" spans="2:37">
      <c r="B618" s="650"/>
      <c r="C618" s="650"/>
      <c r="D618" s="650"/>
      <c r="E618" s="650"/>
      <c r="F618" s="650"/>
      <c r="G618" s="650"/>
      <c r="H618" s="650"/>
      <c r="I618" s="650"/>
      <c r="J618" s="650"/>
      <c r="K618" s="650"/>
      <c r="L618" s="650"/>
      <c r="M618" s="2"/>
      <c r="N618" s="2"/>
      <c r="O618" s="2"/>
      <c r="P618" s="2"/>
      <c r="Q618" s="2"/>
      <c r="R618" s="2"/>
      <c r="S618" s="2"/>
      <c r="T618" s="2"/>
      <c r="U618" s="2"/>
      <c r="V618" s="2"/>
      <c r="W618" s="2"/>
      <c r="X618" s="2"/>
      <c r="Y618" s="2"/>
      <c r="Z618" s="2"/>
      <c r="AA618" s="2"/>
      <c r="AB618" s="2"/>
      <c r="AC618" s="2"/>
      <c r="AD618" s="2"/>
      <c r="AE618" s="2"/>
      <c r="AF618" s="2"/>
      <c r="AG618" s="2"/>
      <c r="AH618" s="2"/>
      <c r="AI618" s="2"/>
      <c r="AJ618" s="2"/>
      <c r="AK618" s="2"/>
    </row>
    <row r="619" spans="2:37">
      <c r="B619" s="650"/>
      <c r="C619" s="650"/>
      <c r="D619" s="650"/>
      <c r="E619" s="650"/>
      <c r="F619" s="650"/>
      <c r="G619" s="650"/>
      <c r="H619" s="650"/>
      <c r="I619" s="650"/>
      <c r="J619" s="650"/>
      <c r="K619" s="650"/>
      <c r="L619" s="650"/>
      <c r="M619" s="2"/>
      <c r="N619" s="2"/>
      <c r="S619" s="2"/>
      <c r="T619" s="2"/>
      <c r="U619" s="2"/>
      <c r="V619" s="2"/>
      <c r="W619" s="2"/>
      <c r="X619" s="2"/>
      <c r="Y619" s="2"/>
      <c r="Z619" s="2"/>
      <c r="AA619" s="2"/>
      <c r="AB619" s="2"/>
      <c r="AC619" s="2"/>
      <c r="AD619" s="2"/>
      <c r="AE619" s="2"/>
      <c r="AF619" s="2"/>
      <c r="AG619" s="2"/>
      <c r="AH619" s="2"/>
      <c r="AI619" s="2"/>
      <c r="AJ619" s="2"/>
      <c r="AK619" s="2"/>
    </row>
    <row r="620" spans="2:37">
      <c r="B620" s="650"/>
      <c r="C620" s="650"/>
      <c r="D620" s="650"/>
      <c r="E620" s="650"/>
      <c r="F620" s="650"/>
      <c r="G620" s="650"/>
      <c r="H620" s="650"/>
      <c r="I620" s="650"/>
      <c r="J620" s="650"/>
      <c r="K620" s="650"/>
      <c r="L620" s="650"/>
      <c r="M620" s="2"/>
      <c r="N620" s="2"/>
      <c r="S620" s="2"/>
      <c r="T620" s="2"/>
      <c r="U620" s="2"/>
      <c r="V620" s="2"/>
      <c r="W620" s="2"/>
      <c r="X620" s="2"/>
      <c r="Y620" s="2"/>
      <c r="Z620" s="2"/>
      <c r="AA620" s="2"/>
      <c r="AB620" s="2"/>
      <c r="AC620" s="2"/>
      <c r="AD620" s="2"/>
      <c r="AE620" s="2"/>
      <c r="AF620" s="2"/>
      <c r="AG620" s="2"/>
      <c r="AH620" s="2"/>
      <c r="AI620" s="2"/>
      <c r="AJ620" s="2"/>
      <c r="AK620" s="2"/>
    </row>
    <row r="621" spans="2:37">
      <c r="B621" s="208"/>
      <c r="C621" s="2"/>
      <c r="D621" s="159"/>
      <c r="E621" s="2"/>
      <c r="F621" s="159"/>
      <c r="G621" s="2"/>
      <c r="H621" s="2"/>
      <c r="I621" s="159"/>
      <c r="J621" s="2"/>
      <c r="K621" s="2"/>
      <c r="L621" s="2"/>
      <c r="M621" s="2"/>
      <c r="N621" s="2"/>
      <c r="O621" s="2"/>
      <c r="P621" s="2"/>
      <c r="Q621" s="2"/>
      <c r="R621" s="2"/>
      <c r="S621" s="2"/>
      <c r="T621" s="2"/>
      <c r="U621" s="2"/>
      <c r="V621" s="2"/>
      <c r="W621" s="2"/>
      <c r="X621" s="2"/>
      <c r="Y621" s="2"/>
      <c r="Z621" s="2"/>
      <c r="AA621" s="2"/>
      <c r="AB621" s="2"/>
      <c r="AC621" s="2"/>
      <c r="AD621" s="2"/>
      <c r="AE621" s="2"/>
      <c r="AF621" s="2"/>
      <c r="AG621" s="2"/>
      <c r="AH621" s="2"/>
      <c r="AI621" s="2"/>
      <c r="AJ621" s="2"/>
      <c r="AK621" s="2"/>
    </row>
    <row r="622" spans="2:37">
      <c r="B622" s="2"/>
      <c r="C622" s="2"/>
      <c r="D622" s="159"/>
      <c r="E622" s="2"/>
      <c r="F622" s="159"/>
      <c r="G622" s="2"/>
      <c r="H622" s="2"/>
      <c r="I622" s="159"/>
      <c r="J622" s="2"/>
      <c r="K622" s="2"/>
      <c r="L622" s="2"/>
      <c r="M622" s="2"/>
      <c r="N622" s="2"/>
      <c r="O622" s="2"/>
      <c r="P622" s="2"/>
      <c r="Q622" s="2"/>
      <c r="R622" s="2"/>
      <c r="S622" s="2"/>
      <c r="T622" s="2"/>
      <c r="U622" s="2"/>
      <c r="V622" s="2"/>
      <c r="W622" s="2"/>
      <c r="X622" s="2"/>
      <c r="Y622" s="2"/>
      <c r="Z622" s="2"/>
      <c r="AA622" s="2"/>
      <c r="AB622" s="2"/>
      <c r="AC622" s="2"/>
      <c r="AD622" s="2"/>
      <c r="AE622" s="2"/>
      <c r="AF622" s="2"/>
      <c r="AG622" s="2"/>
      <c r="AH622" s="2"/>
      <c r="AI622" s="2"/>
      <c r="AJ622" s="2"/>
      <c r="AK622" s="2"/>
    </row>
    <row r="623" spans="2:37">
      <c r="B623" s="2"/>
      <c r="C623" s="2"/>
      <c r="D623" s="159"/>
      <c r="E623" s="2"/>
      <c r="F623" s="159"/>
      <c r="G623" s="2"/>
      <c r="H623" s="2"/>
      <c r="I623" s="159"/>
      <c r="J623" s="2"/>
      <c r="K623" s="2"/>
      <c r="L623" s="2"/>
      <c r="M623" s="2"/>
      <c r="N623" s="2"/>
      <c r="S623" s="2"/>
      <c r="T623" s="2"/>
      <c r="U623" s="2"/>
      <c r="V623" s="2"/>
      <c r="W623" s="2"/>
      <c r="X623" s="2"/>
      <c r="Y623" s="2"/>
      <c r="Z623" s="2"/>
      <c r="AA623" s="2"/>
      <c r="AB623" s="2"/>
      <c r="AC623" s="2"/>
      <c r="AD623" s="2"/>
      <c r="AE623" s="2"/>
      <c r="AF623" s="2"/>
      <c r="AG623" s="2"/>
      <c r="AH623" s="2"/>
      <c r="AI623" s="2"/>
      <c r="AJ623" s="2"/>
      <c r="AK623" s="2"/>
    </row>
    <row r="624" spans="2:37">
      <c r="B624" s="2"/>
      <c r="C624" s="2"/>
      <c r="D624" s="159"/>
      <c r="E624" s="2"/>
      <c r="F624" s="159"/>
      <c r="G624" s="2"/>
      <c r="H624" s="2"/>
      <c r="I624" s="159"/>
      <c r="J624" s="2"/>
      <c r="K624" s="2"/>
      <c r="L624" s="2"/>
      <c r="M624" s="2"/>
      <c r="N624" s="2"/>
      <c r="S624" s="2"/>
      <c r="T624" s="2"/>
      <c r="U624" s="2"/>
      <c r="V624" s="2"/>
      <c r="W624" s="2"/>
      <c r="X624" s="2"/>
      <c r="Y624" s="2"/>
      <c r="Z624" s="2"/>
      <c r="AA624" s="2"/>
      <c r="AB624" s="2"/>
      <c r="AC624" s="2"/>
      <c r="AD624" s="2"/>
      <c r="AE624" s="2"/>
      <c r="AF624" s="2"/>
      <c r="AG624" s="2"/>
      <c r="AH624" s="2"/>
      <c r="AI624" s="2"/>
      <c r="AJ624" s="2"/>
      <c r="AK624" s="2"/>
    </row>
    <row r="625" spans="2:37">
      <c r="B625" s="2"/>
      <c r="C625" s="2"/>
      <c r="D625" s="159"/>
      <c r="E625" s="2"/>
      <c r="F625" s="159"/>
      <c r="G625" s="2"/>
      <c r="H625" s="2"/>
      <c r="I625" s="159"/>
      <c r="J625" s="2"/>
      <c r="K625" s="2"/>
      <c r="L625" s="2"/>
      <c r="M625" s="2"/>
      <c r="N625" s="2"/>
      <c r="S625" s="2"/>
      <c r="T625" s="2"/>
      <c r="U625" s="2"/>
      <c r="V625" s="2"/>
      <c r="W625" s="2"/>
      <c r="X625" s="2"/>
      <c r="Y625" s="2"/>
      <c r="Z625" s="2"/>
      <c r="AA625" s="2"/>
      <c r="AB625" s="2"/>
      <c r="AC625" s="2"/>
      <c r="AD625" s="2"/>
      <c r="AE625" s="2"/>
      <c r="AF625" s="2"/>
      <c r="AG625" s="2"/>
      <c r="AH625" s="2"/>
      <c r="AI625" s="2"/>
      <c r="AJ625" s="2"/>
      <c r="AK625" s="2"/>
    </row>
    <row r="626" spans="2:37">
      <c r="B626" s="2"/>
      <c r="C626" s="2"/>
      <c r="D626" s="159"/>
      <c r="E626" s="2"/>
      <c r="F626" s="159"/>
      <c r="G626" s="2"/>
      <c r="H626" s="2"/>
      <c r="I626" s="159"/>
      <c r="J626" s="2"/>
      <c r="K626" s="2"/>
      <c r="L626" s="2"/>
      <c r="M626" s="2"/>
      <c r="N626" s="2"/>
      <c r="O626" s="2"/>
      <c r="P626" s="2"/>
      <c r="Q626" s="2"/>
      <c r="R626" s="2"/>
      <c r="S626" s="2"/>
      <c r="T626" s="2"/>
      <c r="U626" s="2"/>
      <c r="V626" s="2"/>
      <c r="W626" s="2"/>
      <c r="X626" s="2"/>
      <c r="Y626" s="2"/>
      <c r="Z626" s="2"/>
      <c r="AA626" s="2"/>
      <c r="AB626" s="2"/>
      <c r="AC626" s="2"/>
      <c r="AD626" s="2"/>
      <c r="AE626" s="2"/>
      <c r="AF626" s="2"/>
      <c r="AG626" s="2"/>
      <c r="AH626" s="2"/>
      <c r="AI626" s="2"/>
      <c r="AJ626" s="2"/>
      <c r="AK626" s="2"/>
    </row>
    <row r="627" spans="2:37">
      <c r="B627" s="2"/>
      <c r="C627" s="2"/>
      <c r="D627" s="159"/>
      <c r="E627" s="2"/>
      <c r="F627" s="159"/>
      <c r="G627" s="2"/>
      <c r="H627" s="2"/>
      <c r="I627" s="159"/>
      <c r="J627" s="2"/>
      <c r="K627" s="2"/>
      <c r="L627" s="2"/>
      <c r="M627" s="2"/>
      <c r="N627" s="2"/>
      <c r="O627" s="2"/>
      <c r="P627" s="2"/>
      <c r="Q627" s="2"/>
      <c r="R627" s="2"/>
      <c r="S627" s="2"/>
      <c r="T627" s="2"/>
      <c r="U627" s="2"/>
      <c r="V627" s="2"/>
      <c r="W627" s="2"/>
      <c r="X627" s="2"/>
      <c r="Y627" s="2"/>
      <c r="Z627" s="2"/>
      <c r="AA627" s="2"/>
      <c r="AB627" s="2"/>
      <c r="AC627" s="2"/>
      <c r="AD627" s="2"/>
      <c r="AE627" s="2"/>
      <c r="AF627" s="2"/>
      <c r="AG627" s="2"/>
      <c r="AH627" s="2"/>
      <c r="AI627" s="2"/>
      <c r="AJ627" s="2"/>
      <c r="AK627" s="2"/>
    </row>
    <row r="628" spans="2:37">
      <c r="B628" s="2"/>
      <c r="C628" s="2"/>
      <c r="D628" s="159"/>
      <c r="E628" s="2"/>
      <c r="F628" s="159"/>
      <c r="G628" s="2"/>
      <c r="H628" s="2"/>
      <c r="I628" s="159"/>
      <c r="J628" s="2"/>
      <c r="K628" s="2"/>
      <c r="L628" s="2"/>
      <c r="M628" s="2"/>
      <c r="N628" s="2"/>
      <c r="O628" s="2"/>
      <c r="P628" s="140" t="str">
        <f>$B$574</f>
        <v>School Administration Expenditures (2400)</v>
      </c>
      <c r="Q628" s="2"/>
      <c r="R628" s="2"/>
      <c r="S628" s="2"/>
      <c r="T628" s="2"/>
      <c r="U628" s="2"/>
      <c r="V628" s="2"/>
      <c r="W628" s="2"/>
      <c r="X628" s="2"/>
      <c r="Y628" s="2"/>
      <c r="Z628" s="2"/>
      <c r="AA628" s="2"/>
      <c r="AB628" s="2"/>
      <c r="AC628" s="2"/>
      <c r="AD628" s="2"/>
      <c r="AE628" s="2"/>
      <c r="AF628" s="2"/>
      <c r="AG628" s="2"/>
      <c r="AH628" s="2"/>
      <c r="AI628" s="2"/>
      <c r="AJ628" s="2"/>
      <c r="AK628" s="2"/>
    </row>
    <row r="629" spans="2:37">
      <c r="B629" s="2"/>
      <c r="C629" s="2"/>
      <c r="D629" s="159"/>
      <c r="E629" s="2"/>
      <c r="F629" s="159"/>
      <c r="G629" s="2"/>
      <c r="H629" s="2"/>
      <c r="I629" s="159"/>
      <c r="J629" s="2"/>
      <c r="K629" s="2"/>
      <c r="L629" s="2"/>
      <c r="M629" s="2"/>
      <c r="N629" s="2"/>
      <c r="O629" s="2"/>
      <c r="P629" s="82" t="str">
        <f>D4</f>
        <v>2023-2024</v>
      </c>
      <c r="Q629" s="82" t="str">
        <f>F4</f>
        <v>2024-2025</v>
      </c>
      <c r="R629" s="82" t="str">
        <f>I4</f>
        <v>2025-2026</v>
      </c>
      <c r="S629" s="2"/>
      <c r="T629" s="2"/>
      <c r="U629" s="2"/>
      <c r="V629" s="2"/>
      <c r="W629" s="2"/>
      <c r="X629" s="2"/>
      <c r="Y629" s="2"/>
      <c r="Z629" s="2"/>
      <c r="AA629" s="2"/>
      <c r="AB629" s="2"/>
      <c r="AC629" s="2"/>
      <c r="AD629" s="2"/>
      <c r="AE629" s="2"/>
      <c r="AF629" s="2"/>
      <c r="AG629" s="2"/>
      <c r="AH629" s="2"/>
      <c r="AI629" s="2"/>
      <c r="AJ629" s="2"/>
      <c r="AK629" s="2"/>
    </row>
    <row r="630" spans="2:37">
      <c r="B630" s="2"/>
      <c r="C630" s="2"/>
      <c r="D630" s="159"/>
      <c r="E630" s="2"/>
      <c r="F630" s="159"/>
      <c r="G630" s="2"/>
      <c r="H630" s="2"/>
      <c r="I630" s="159"/>
      <c r="J630" s="2"/>
      <c r="K630" s="2"/>
      <c r="L630" s="2"/>
      <c r="M630" s="2"/>
      <c r="N630" s="2"/>
      <c r="O630" s="140" t="str">
        <f>$B574</f>
        <v>School Administration Expenditures (2400)</v>
      </c>
      <c r="P630" s="207">
        <f>IF(AND($D616&lt;=0,$F616&lt;=0,$J616&lt;=0),#N/A,IF($D616&lt;=0,0,$D616))</f>
        <v>118668</v>
      </c>
      <c r="Q630" s="207">
        <f>IF(AND($D616&lt;=0,$F616&lt;=0,$J616&lt;=0),#N/A,IF($F616&lt;=0,0,$F616))</f>
        <v>140183</v>
      </c>
      <c r="R630" s="207">
        <f>IF(AND($D616&lt;=0,$F616&lt;=0,$J616&lt;=0),#N/A,IF($J616&lt;=0,0,$J616))</f>
        <v>118317</v>
      </c>
      <c r="S630" s="2"/>
      <c r="T630" s="2"/>
      <c r="U630" s="2"/>
      <c r="V630" s="2"/>
      <c r="W630" s="2"/>
      <c r="X630" s="2"/>
      <c r="Y630" s="2"/>
      <c r="Z630" s="2"/>
      <c r="AA630" s="2"/>
      <c r="AB630" s="2"/>
      <c r="AC630" s="2"/>
      <c r="AD630" s="2"/>
      <c r="AE630" s="2"/>
      <c r="AF630" s="2"/>
      <c r="AG630" s="2"/>
      <c r="AH630" s="2"/>
      <c r="AI630" s="2"/>
      <c r="AJ630" s="2"/>
      <c r="AK630" s="2"/>
    </row>
    <row r="631" spans="2:37">
      <c r="B631" s="2"/>
      <c r="C631" s="2"/>
      <c r="D631" s="159"/>
      <c r="E631" s="2"/>
      <c r="F631" s="159"/>
      <c r="G631" s="2"/>
      <c r="H631" s="2"/>
      <c r="I631" s="159"/>
      <c r="J631" s="2"/>
      <c r="K631" s="2"/>
      <c r="L631" s="2"/>
      <c r="M631" s="2"/>
      <c r="N631" s="2"/>
      <c r="O631" s="2"/>
      <c r="P631" s="2"/>
      <c r="Q631" s="2"/>
      <c r="R631" s="2"/>
      <c r="S631" s="2"/>
      <c r="T631" s="2"/>
      <c r="U631" s="2"/>
      <c r="V631" s="2"/>
      <c r="W631" s="2"/>
      <c r="X631" s="2"/>
      <c r="Y631" s="2"/>
      <c r="Z631" s="2"/>
      <c r="AA631" s="2"/>
      <c r="AB631" s="2"/>
      <c r="AC631" s="2"/>
      <c r="AD631" s="2"/>
      <c r="AE631" s="2"/>
      <c r="AF631" s="2"/>
      <c r="AG631" s="2"/>
      <c r="AH631" s="2"/>
      <c r="AI631" s="2"/>
      <c r="AJ631" s="2"/>
      <c r="AK631" s="2"/>
    </row>
    <row r="632" spans="2:37">
      <c r="B632" s="2"/>
      <c r="C632" s="2"/>
      <c r="D632" s="159"/>
      <c r="E632" s="2"/>
      <c r="F632" s="159"/>
      <c r="G632" s="2"/>
      <c r="H632" s="2"/>
      <c r="I632" s="159"/>
      <c r="J632" s="2"/>
      <c r="K632" s="2"/>
      <c r="L632" s="2"/>
      <c r="M632" s="2"/>
      <c r="N632" s="2"/>
      <c r="O632" s="2"/>
      <c r="P632" s="2"/>
      <c r="Q632" s="2"/>
      <c r="R632" s="2"/>
      <c r="S632" s="2"/>
      <c r="T632" s="2"/>
      <c r="U632" s="2"/>
      <c r="V632" s="2"/>
      <c r="W632" s="2"/>
      <c r="X632" s="2"/>
      <c r="Y632" s="2"/>
      <c r="Z632" s="2"/>
      <c r="AA632" s="2"/>
      <c r="AB632" s="2"/>
      <c r="AC632" s="2"/>
      <c r="AD632" s="2"/>
      <c r="AE632" s="2"/>
      <c r="AF632" s="2"/>
      <c r="AG632" s="2"/>
      <c r="AH632" s="2"/>
      <c r="AI632" s="2"/>
      <c r="AJ632" s="2"/>
      <c r="AK632" s="2"/>
    </row>
    <row r="633" spans="2:37">
      <c r="B633" s="2"/>
      <c r="C633" s="2"/>
      <c r="D633" s="159"/>
      <c r="E633" s="2"/>
      <c r="F633" s="159"/>
      <c r="G633" s="2"/>
      <c r="H633" s="2"/>
      <c r="I633" s="159"/>
      <c r="J633" s="2"/>
      <c r="K633" s="2"/>
      <c r="L633" s="2"/>
      <c r="M633" s="2"/>
      <c r="N633" s="2"/>
      <c r="O633" s="2"/>
      <c r="P633" s="2"/>
      <c r="Q633" s="2"/>
      <c r="R633" s="2"/>
      <c r="S633" s="2"/>
      <c r="T633" s="2"/>
      <c r="U633" s="2"/>
      <c r="V633" s="2"/>
      <c r="W633" s="2"/>
      <c r="X633" s="2"/>
      <c r="Y633" s="2"/>
      <c r="Z633" s="2"/>
      <c r="AA633" s="2"/>
      <c r="AB633" s="2"/>
      <c r="AC633" s="2"/>
      <c r="AD633" s="2"/>
      <c r="AE633" s="2"/>
      <c r="AF633" s="2"/>
      <c r="AG633" s="2"/>
      <c r="AH633" s="2"/>
      <c r="AI633" s="2"/>
      <c r="AJ633" s="2"/>
      <c r="AK633" s="2"/>
    </row>
    <row r="634" spans="2:37">
      <c r="C634" s="2"/>
      <c r="D634" s="159"/>
      <c r="E634" s="2"/>
      <c r="F634" s="159"/>
      <c r="G634" s="2"/>
      <c r="H634" s="2"/>
      <c r="I634" s="159"/>
      <c r="J634" s="2"/>
      <c r="K634" s="2"/>
      <c r="L634" s="2"/>
      <c r="M634" s="2"/>
      <c r="N634" s="2"/>
      <c r="O634" s="2"/>
      <c r="P634" s="2"/>
      <c r="Q634" s="2"/>
      <c r="R634" s="2"/>
      <c r="S634" s="2"/>
      <c r="T634" s="2"/>
      <c r="U634" s="2"/>
      <c r="V634" s="2"/>
      <c r="W634" s="2"/>
      <c r="X634" s="2"/>
      <c r="Y634" s="2"/>
      <c r="Z634" s="2"/>
      <c r="AA634" s="2"/>
      <c r="AB634" s="2"/>
      <c r="AC634" s="2"/>
      <c r="AD634" s="2"/>
      <c r="AE634" s="2"/>
      <c r="AF634" s="2"/>
      <c r="AG634" s="2"/>
      <c r="AH634" s="2"/>
      <c r="AI634" s="2"/>
      <c r="AJ634" s="2"/>
      <c r="AK634" s="2"/>
    </row>
    <row r="635" spans="2:37">
      <c r="C635" s="2"/>
      <c r="D635" s="159"/>
      <c r="E635" s="2"/>
      <c r="F635" s="159"/>
      <c r="G635" s="2"/>
      <c r="H635" s="2"/>
      <c r="I635" s="159"/>
      <c r="J635" s="2"/>
      <c r="K635" s="2"/>
      <c r="L635" s="2"/>
      <c r="M635" s="2"/>
      <c r="N635" s="2"/>
      <c r="O635" s="2"/>
      <c r="P635" s="2"/>
      <c r="Q635" s="2"/>
      <c r="R635" s="2"/>
      <c r="S635" s="2"/>
      <c r="T635" s="2"/>
      <c r="U635" s="2"/>
      <c r="V635" s="2"/>
      <c r="W635" s="2"/>
      <c r="X635" s="2"/>
      <c r="Y635" s="2"/>
      <c r="Z635" s="2"/>
      <c r="AA635" s="2"/>
      <c r="AB635" s="2"/>
      <c r="AC635" s="2"/>
      <c r="AD635" s="2"/>
      <c r="AE635" s="2"/>
      <c r="AF635" s="2"/>
      <c r="AG635" s="2"/>
      <c r="AH635" s="2"/>
      <c r="AI635" s="2"/>
      <c r="AJ635" s="2"/>
      <c r="AK635" s="2"/>
    </row>
    <row r="636" spans="2:37">
      <c r="C636" s="2"/>
      <c r="D636" s="159"/>
      <c r="E636" s="2"/>
      <c r="F636" s="159"/>
      <c r="G636" s="2"/>
      <c r="H636" s="2"/>
      <c r="I636" s="159"/>
      <c r="J636" s="2"/>
      <c r="K636" s="2"/>
      <c r="L636" s="2"/>
      <c r="M636" s="2"/>
      <c r="N636" s="2"/>
      <c r="O636" s="2"/>
      <c r="P636" s="2"/>
      <c r="Q636" s="2"/>
      <c r="R636" s="2"/>
      <c r="S636" s="2"/>
      <c r="T636" s="2"/>
      <c r="U636" s="2"/>
      <c r="V636" s="2"/>
      <c r="W636" s="2"/>
      <c r="X636" s="2"/>
      <c r="Y636" s="2"/>
      <c r="Z636" s="2"/>
      <c r="AA636" s="2"/>
      <c r="AB636" s="2"/>
      <c r="AC636" s="2"/>
      <c r="AD636" s="2"/>
      <c r="AE636" s="2"/>
      <c r="AF636" s="2"/>
      <c r="AG636" s="2"/>
      <c r="AH636" s="2"/>
      <c r="AI636" s="2"/>
      <c r="AJ636" s="2"/>
      <c r="AK636" s="2"/>
    </row>
    <row r="637" spans="2:37">
      <c r="C637" s="2"/>
      <c r="D637" s="159"/>
      <c r="E637" s="2"/>
      <c r="F637" s="159"/>
      <c r="G637" s="2"/>
      <c r="H637" s="2"/>
      <c r="I637" s="159"/>
      <c r="J637" s="2"/>
      <c r="K637" s="2"/>
      <c r="L637" s="2"/>
      <c r="M637" s="2"/>
      <c r="N637" s="2"/>
      <c r="O637" s="2"/>
      <c r="P637" s="2"/>
      <c r="Q637" s="2"/>
      <c r="R637" s="2"/>
      <c r="S637" s="2"/>
      <c r="T637" s="2"/>
      <c r="U637" s="2"/>
      <c r="V637" s="2"/>
      <c r="W637" s="2"/>
      <c r="X637" s="2"/>
      <c r="Y637" s="2"/>
      <c r="Z637" s="2"/>
      <c r="AA637" s="2"/>
      <c r="AB637" s="2"/>
      <c r="AC637" s="2"/>
      <c r="AD637" s="2"/>
      <c r="AE637" s="2"/>
      <c r="AF637" s="2"/>
      <c r="AG637" s="2"/>
      <c r="AH637" s="2"/>
      <c r="AI637" s="2"/>
      <c r="AJ637" s="2"/>
      <c r="AK637" s="2"/>
    </row>
    <row r="638" spans="2:37" ht="18">
      <c r="B638" s="316" t="s">
        <v>129</v>
      </c>
      <c r="C638" s="143"/>
      <c r="D638" s="143"/>
      <c r="E638" s="143"/>
      <c r="F638" s="144"/>
      <c r="G638" s="144"/>
      <c r="H638" s="144"/>
      <c r="I638" s="143"/>
      <c r="J638" s="143"/>
      <c r="K638" s="143"/>
      <c r="L638" s="143"/>
      <c r="M638" s="2"/>
      <c r="N638" s="2"/>
      <c r="O638" s="2"/>
      <c r="P638" s="2"/>
      <c r="Q638" s="2"/>
      <c r="R638" s="2"/>
      <c r="S638" s="2"/>
      <c r="T638" s="2"/>
      <c r="U638" s="2"/>
      <c r="V638" s="2"/>
      <c r="W638" s="2"/>
      <c r="X638" s="2"/>
      <c r="Y638" s="2"/>
      <c r="Z638" s="2"/>
      <c r="AA638" s="2"/>
      <c r="AB638" s="2"/>
      <c r="AC638" s="2"/>
      <c r="AD638" s="2"/>
      <c r="AE638" s="2"/>
      <c r="AF638" s="2"/>
      <c r="AG638" s="2"/>
      <c r="AH638" s="2"/>
      <c r="AI638" s="2"/>
      <c r="AJ638" s="2"/>
      <c r="AK638" s="2"/>
    </row>
    <row r="639" spans="2:37">
      <c r="B639" s="2"/>
      <c r="C639" s="386" t="s">
        <v>1</v>
      </c>
      <c r="D639" s="379"/>
      <c r="E639" s="4"/>
      <c r="F639" s="379"/>
      <c r="G639" s="59"/>
      <c r="H639" s="4"/>
      <c r="I639" s="317"/>
      <c r="J639" s="380"/>
      <c r="K639" s="2"/>
      <c r="L639" s="2"/>
      <c r="M639" s="2"/>
      <c r="N639" s="2"/>
      <c r="O639" s="2"/>
      <c r="P639" s="2"/>
      <c r="Q639" s="2"/>
      <c r="R639" s="2"/>
      <c r="S639" s="2"/>
      <c r="T639" s="2"/>
      <c r="U639" s="2"/>
      <c r="V639" s="2"/>
      <c r="W639" s="2"/>
      <c r="X639" s="2"/>
      <c r="Y639" s="2"/>
      <c r="Z639" s="2"/>
      <c r="AA639" s="2"/>
      <c r="AB639" s="2"/>
      <c r="AC639" s="2"/>
      <c r="AD639" s="2"/>
      <c r="AE639" s="2"/>
      <c r="AF639" s="2"/>
      <c r="AG639" s="2"/>
      <c r="AH639" s="2"/>
      <c r="AI639" s="2"/>
      <c r="AJ639" s="2"/>
      <c r="AK639" s="2"/>
    </row>
    <row r="640" spans="2:37">
      <c r="B640" s="2"/>
      <c r="C640" s="43"/>
      <c r="D640" s="381" t="str">
        <f>D4</f>
        <v>2023-2024</v>
      </c>
      <c r="E640" s="43"/>
      <c r="F640" s="740" t="str">
        <f>F4</f>
        <v>2024-2025</v>
      </c>
      <c r="G640" s="741"/>
      <c r="H640" s="319" t="s">
        <v>2</v>
      </c>
      <c r="J640" s="740" t="str">
        <f>I4</f>
        <v>2025-2026</v>
      </c>
      <c r="K640" s="741"/>
      <c r="L640" s="320" t="s">
        <v>2</v>
      </c>
      <c r="M640" s="2"/>
      <c r="N640" s="2"/>
      <c r="O640" s="2"/>
      <c r="P640" s="2"/>
      <c r="Q640" s="2"/>
      <c r="R640" s="2"/>
      <c r="S640" s="2"/>
      <c r="T640" s="2"/>
      <c r="U640" s="2"/>
      <c r="V640" s="2"/>
      <c r="W640" s="2"/>
      <c r="X640" s="2"/>
      <c r="Y640" s="2"/>
      <c r="Z640" s="2"/>
      <c r="AA640" s="2"/>
      <c r="AB640" s="2"/>
      <c r="AC640" s="2"/>
      <c r="AD640" s="2"/>
      <c r="AE640" s="2"/>
      <c r="AF640" s="2"/>
      <c r="AG640" s="2"/>
      <c r="AH640" s="2"/>
      <c r="AI640" s="2"/>
      <c r="AJ640" s="2"/>
      <c r="AK640" s="2"/>
    </row>
    <row r="641" spans="2:37">
      <c r="B641" s="2"/>
      <c r="C641" s="301" t="s">
        <v>4</v>
      </c>
      <c r="D641" s="323" t="s">
        <v>5</v>
      </c>
      <c r="E641" s="43"/>
      <c r="F641" s="736" t="s">
        <v>5</v>
      </c>
      <c r="G641" s="737"/>
      <c r="H641" s="322" t="s">
        <v>144</v>
      </c>
      <c r="J641" s="736" t="s">
        <v>6</v>
      </c>
      <c r="K641" s="737"/>
      <c r="L641" s="323" t="s">
        <v>144</v>
      </c>
      <c r="M641" s="2"/>
      <c r="N641" s="2"/>
      <c r="O641" s="2"/>
      <c r="P641" s="2"/>
      <c r="Q641" s="2"/>
      <c r="R641" s="2"/>
      <c r="S641" s="2"/>
      <c r="T641" s="2"/>
      <c r="U641" s="2"/>
      <c r="V641" s="2"/>
      <c r="W641" s="2"/>
      <c r="X641" s="2"/>
      <c r="Y641" s="2"/>
      <c r="Z641" s="2"/>
      <c r="AA641" s="2"/>
      <c r="AB641" s="2"/>
      <c r="AC641" s="2"/>
      <c r="AD641" s="2"/>
      <c r="AE641" s="2"/>
      <c r="AF641" s="2"/>
      <c r="AG641" s="2"/>
      <c r="AH641" s="2"/>
      <c r="AI641" s="2"/>
      <c r="AJ641" s="2"/>
      <c r="AK641" s="2"/>
    </row>
    <row r="642" spans="2:37">
      <c r="B642" s="324" t="s">
        <v>34</v>
      </c>
      <c r="C642" s="325"/>
      <c r="D642" s="326">
        <f>SUM([1]C06!$C$136:$C$147)</f>
        <v>0</v>
      </c>
      <c r="E642" s="327"/>
      <c r="F642" s="747">
        <f>SUM([1]C06!$D$136:$D$147)</f>
        <v>54</v>
      </c>
      <c r="G642" s="732"/>
      <c r="H642" s="328">
        <f t="shared" ref="H642:H680" si="78">IF(D642=0,0,((F642-D642)/D642))</f>
        <v>0</v>
      </c>
      <c r="J642" s="747">
        <f>SUM([1]C06!$E$136:$E$147)</f>
        <v>0</v>
      </c>
      <c r="K642" s="732"/>
      <c r="L642" s="328">
        <f t="shared" ref="L642:L663" si="79">IF(F642=0,0,((J642-F642)/F642))</f>
        <v>-1</v>
      </c>
      <c r="M642" s="2"/>
      <c r="N642" s="2"/>
      <c r="O642" s="2"/>
      <c r="P642" s="2"/>
      <c r="Q642" s="2"/>
      <c r="R642" s="2"/>
      <c r="S642" s="2"/>
      <c r="T642" s="2"/>
      <c r="U642" s="2"/>
      <c r="V642" s="2"/>
      <c r="W642" s="2"/>
      <c r="X642" s="2"/>
      <c r="Y642" s="2"/>
      <c r="Z642" s="2"/>
      <c r="AA642" s="2"/>
      <c r="AB642" s="2"/>
      <c r="AC642" s="2"/>
      <c r="AD642" s="2"/>
      <c r="AE642" s="2"/>
      <c r="AF642" s="2"/>
      <c r="AG642" s="2"/>
      <c r="AH642" s="2"/>
      <c r="AI642" s="2"/>
      <c r="AJ642" s="2"/>
      <c r="AK642" s="2"/>
    </row>
    <row r="643" spans="2:37">
      <c r="B643" s="44" t="s">
        <v>36</v>
      </c>
      <c r="C643" s="44"/>
      <c r="D643" s="329">
        <f>SUM([1]C07!$C$130:$C$141)</f>
        <v>0</v>
      </c>
      <c r="E643" s="327"/>
      <c r="F643" s="671">
        <f>SUM([1]C07!$D$130:$D$141)</f>
        <v>0</v>
      </c>
      <c r="G643" s="653"/>
      <c r="H643" s="330">
        <f t="shared" si="78"/>
        <v>0</v>
      </c>
      <c r="J643" s="671">
        <f>SUM([1]C07!$E$130:$E$141)</f>
        <v>0</v>
      </c>
      <c r="K643" s="653"/>
      <c r="L643" s="330">
        <f t="shared" si="79"/>
        <v>0</v>
      </c>
      <c r="M643" s="2"/>
      <c r="N643" s="2"/>
      <c r="O643" s="2"/>
      <c r="P643" s="2"/>
      <c r="Q643" s="2"/>
      <c r="R643" s="2"/>
      <c r="S643" s="2"/>
      <c r="T643" s="2"/>
      <c r="U643" s="2"/>
      <c r="V643" s="2"/>
      <c r="W643" s="2"/>
      <c r="X643" s="2"/>
      <c r="Y643" s="2"/>
      <c r="Z643" s="2"/>
      <c r="AA643" s="2"/>
      <c r="AB643" s="2"/>
      <c r="AC643" s="2"/>
      <c r="AD643" s="2"/>
      <c r="AE643" s="2"/>
      <c r="AF643" s="2"/>
      <c r="AG643" s="2"/>
      <c r="AH643" s="2"/>
      <c r="AI643" s="2"/>
      <c r="AJ643" s="2"/>
      <c r="AK643" s="2"/>
    </row>
    <row r="644" spans="2:37">
      <c r="B644" s="324" t="s">
        <v>35</v>
      </c>
      <c r="C644" s="324"/>
      <c r="D644" s="331">
        <f>SUM([1]C08!$C$141:$C$152)</f>
        <v>0</v>
      </c>
      <c r="E644" s="327"/>
      <c r="F644" s="656">
        <f>SUM([1]C08!$D$141:$D$152)</f>
        <v>0</v>
      </c>
      <c r="G644" s="655"/>
      <c r="H644" s="332">
        <f t="shared" si="78"/>
        <v>0</v>
      </c>
      <c r="J644" s="656">
        <f>SUM([1]C08!$E$141:$E$152)</f>
        <v>0</v>
      </c>
      <c r="K644" s="655"/>
      <c r="L644" s="332">
        <f t="shared" si="79"/>
        <v>0</v>
      </c>
      <c r="M644" s="2"/>
      <c r="N644" s="2"/>
      <c r="O644" s="2"/>
      <c r="P644" s="2"/>
      <c r="Q644" s="2"/>
      <c r="R644" s="2"/>
      <c r="S644" s="2"/>
      <c r="T644" s="2"/>
      <c r="U644" s="2"/>
      <c r="V644" s="2"/>
      <c r="W644" s="2"/>
      <c r="X644" s="2"/>
      <c r="Y644" s="2"/>
      <c r="Z644" s="2"/>
      <c r="AA644" s="2"/>
      <c r="AB644" s="2"/>
      <c r="AC644" s="2"/>
      <c r="AD644" s="2"/>
      <c r="AE644" s="2"/>
      <c r="AF644" s="2"/>
      <c r="AG644" s="2"/>
      <c r="AH644" s="2"/>
      <c r="AI644" s="2"/>
      <c r="AJ644" s="2"/>
      <c r="AK644" s="2"/>
    </row>
    <row r="645" spans="2:37">
      <c r="B645" s="1" t="s">
        <v>140</v>
      </c>
      <c r="C645" s="333"/>
      <c r="D645" s="334">
        <f>SUM([1]C011!$C$111:$C$122)</f>
        <v>0</v>
      </c>
      <c r="E645" s="327"/>
      <c r="F645" s="671">
        <f>SUM([1]C011!$D$111:$D$122)</f>
        <v>0</v>
      </c>
      <c r="G645" s="653"/>
      <c r="H645" s="330">
        <f t="shared" si="78"/>
        <v>0</v>
      </c>
      <c r="J645" s="672">
        <f>SUM([1]C011!$E$111:$E$122)</f>
        <v>0</v>
      </c>
      <c r="K645" s="673"/>
      <c r="L645" s="330">
        <f t="shared" si="79"/>
        <v>0</v>
      </c>
      <c r="M645" s="2"/>
      <c r="N645" s="2"/>
      <c r="O645" s="2"/>
      <c r="P645" s="2"/>
      <c r="Q645" s="2"/>
      <c r="R645" s="2"/>
      <c r="S645" s="2"/>
      <c r="T645" s="2"/>
      <c r="U645" s="2"/>
      <c r="V645" s="2"/>
      <c r="W645" s="2"/>
      <c r="X645" s="2"/>
      <c r="Y645" s="2"/>
      <c r="Z645" s="2"/>
      <c r="AA645" s="2"/>
      <c r="AB645" s="2"/>
      <c r="AC645" s="2"/>
      <c r="AD645" s="2"/>
      <c r="AE645" s="2"/>
      <c r="AF645" s="2"/>
      <c r="AG645" s="2"/>
      <c r="AH645" s="2"/>
      <c r="AI645" s="2"/>
      <c r="AJ645" s="2"/>
      <c r="AK645" s="2"/>
    </row>
    <row r="646" spans="2:37">
      <c r="B646" s="324" t="s">
        <v>277</v>
      </c>
      <c r="C646" s="335"/>
      <c r="D646" s="331">
        <f>SUM([1]C013!$C$111:$C$122)</f>
        <v>0</v>
      </c>
      <c r="E646" s="327"/>
      <c r="F646" s="656">
        <f>SUM([1]C013!$D$111:$D$122)</f>
        <v>0</v>
      </c>
      <c r="G646" s="655"/>
      <c r="H646" s="332">
        <f t="shared" si="78"/>
        <v>0</v>
      </c>
      <c r="J646" s="674">
        <f>SUM([1]C013!$E$111:$E$122)</f>
        <v>0</v>
      </c>
      <c r="K646" s="675"/>
      <c r="L646" s="332">
        <f t="shared" si="79"/>
        <v>0</v>
      </c>
      <c r="M646" s="2"/>
      <c r="N646" s="2"/>
      <c r="O646" s="2"/>
      <c r="P646" s="2"/>
      <c r="Q646" s="2"/>
      <c r="R646" s="2"/>
      <c r="S646" s="2"/>
      <c r="T646" s="2"/>
      <c r="U646" s="2"/>
      <c r="V646" s="2"/>
      <c r="W646" s="2"/>
      <c r="X646" s="2"/>
      <c r="Y646" s="2"/>
      <c r="Z646" s="2"/>
      <c r="AA646" s="2"/>
      <c r="AB646" s="2"/>
      <c r="AC646" s="2"/>
      <c r="AD646" s="2"/>
      <c r="AE646" s="2"/>
      <c r="AF646" s="2"/>
      <c r="AG646" s="2"/>
      <c r="AH646" s="2"/>
      <c r="AI646" s="2"/>
      <c r="AJ646" s="2"/>
      <c r="AK646" s="2"/>
    </row>
    <row r="647" spans="2:37">
      <c r="B647" s="1" t="s">
        <v>39</v>
      </c>
      <c r="C647" s="1"/>
      <c r="D647" s="334">
        <f>SUM([1]C014!$C$107:$C$118)</f>
        <v>0</v>
      </c>
      <c r="E647" s="327"/>
      <c r="F647" s="671">
        <f>SUM([1]C014!$D$107:$D$118)</f>
        <v>0</v>
      </c>
      <c r="G647" s="653"/>
      <c r="H647" s="330">
        <f t="shared" si="78"/>
        <v>0</v>
      </c>
      <c r="J647" s="671">
        <f>SUM([1]C014!$E$107:$E$118)</f>
        <v>0</v>
      </c>
      <c r="K647" s="653"/>
      <c r="L647" s="330">
        <f t="shared" si="79"/>
        <v>0</v>
      </c>
      <c r="M647" s="2"/>
      <c r="N647" s="2"/>
      <c r="O647" s="2"/>
      <c r="P647" s="2"/>
      <c r="Q647" s="2"/>
      <c r="R647" s="2"/>
      <c r="S647" s="2"/>
      <c r="T647" s="2"/>
      <c r="U647" s="2"/>
      <c r="V647" s="2"/>
      <c r="W647" s="2"/>
      <c r="X647" s="2"/>
      <c r="Y647" s="2"/>
      <c r="Z647" s="2"/>
      <c r="AA647" s="2"/>
      <c r="AB647" s="2"/>
      <c r="AC647" s="2"/>
      <c r="AD647" s="2"/>
      <c r="AE647" s="2"/>
      <c r="AF647" s="2"/>
      <c r="AG647" s="2"/>
      <c r="AH647" s="2"/>
      <c r="AI647" s="2"/>
      <c r="AJ647" s="2"/>
      <c r="AK647" s="2"/>
    </row>
    <row r="648" spans="2:37">
      <c r="B648" s="324" t="s">
        <v>40</v>
      </c>
      <c r="C648" s="324"/>
      <c r="D648" s="331">
        <f>SUM([1]C015!$C$107:$C$118)</f>
        <v>0</v>
      </c>
      <c r="E648" s="327"/>
      <c r="F648" s="656">
        <f>SUM([1]C015!$D$107:$D$118)</f>
        <v>0</v>
      </c>
      <c r="G648" s="655"/>
      <c r="H648" s="332">
        <f t="shared" si="78"/>
        <v>0</v>
      </c>
      <c r="J648" s="656">
        <f>SUM([1]C015!$E$107:$E$118)</f>
        <v>0</v>
      </c>
      <c r="K648" s="655"/>
      <c r="L648" s="332">
        <f t="shared" si="79"/>
        <v>0</v>
      </c>
      <c r="M648" s="2"/>
      <c r="N648" s="2"/>
      <c r="O648" s="2"/>
      <c r="P648" s="2"/>
      <c r="Q648" s="2"/>
      <c r="R648" s="2"/>
      <c r="S648" s="2"/>
      <c r="T648" s="2"/>
      <c r="U648" s="2"/>
      <c r="V648" s="2"/>
      <c r="W648" s="2"/>
      <c r="X648" s="2"/>
      <c r="Y648" s="2"/>
      <c r="Z648" s="2"/>
      <c r="AA648" s="2"/>
      <c r="AB648" s="2"/>
      <c r="AC648" s="2"/>
      <c r="AD648" s="2"/>
      <c r="AE648" s="2"/>
      <c r="AF648" s="2"/>
      <c r="AG648" s="2"/>
      <c r="AH648" s="2"/>
      <c r="AI648" s="2"/>
      <c r="AJ648" s="2"/>
      <c r="AK648" s="2"/>
    </row>
    <row r="649" spans="2:37">
      <c r="B649" s="1" t="s">
        <v>41</v>
      </c>
      <c r="C649" s="1"/>
      <c r="D649" s="334">
        <f>SUM([1]C016!$C$78:$C$84)</f>
        <v>0</v>
      </c>
      <c r="E649" s="327"/>
      <c r="F649" s="671">
        <f>SUM([1]C016!$D$78:$D$84)</f>
        <v>0</v>
      </c>
      <c r="G649" s="653"/>
      <c r="H649" s="330">
        <f t="shared" si="78"/>
        <v>0</v>
      </c>
      <c r="J649" s="671">
        <f>SUM([1]C016!$E$78:$E$84)</f>
        <v>0</v>
      </c>
      <c r="K649" s="653"/>
      <c r="L649" s="330">
        <f t="shared" si="79"/>
        <v>0</v>
      </c>
      <c r="M649" s="2"/>
      <c r="N649" s="2"/>
      <c r="O649" s="2"/>
      <c r="P649" s="2"/>
      <c r="Q649" s="2"/>
      <c r="R649" s="2"/>
      <c r="S649" s="2"/>
      <c r="T649" s="2"/>
      <c r="U649" s="2"/>
      <c r="V649" s="2"/>
      <c r="W649" s="2"/>
      <c r="X649" s="2"/>
      <c r="Y649" s="2"/>
      <c r="Z649" s="2"/>
      <c r="AA649" s="2"/>
      <c r="AB649" s="2"/>
      <c r="AC649" s="2"/>
      <c r="AD649" s="2"/>
      <c r="AE649" s="2"/>
      <c r="AF649" s="2"/>
      <c r="AG649" s="2"/>
      <c r="AH649" s="2"/>
      <c r="AI649" s="2"/>
      <c r="AJ649" s="2"/>
      <c r="AK649" s="2"/>
    </row>
    <row r="650" spans="2:37">
      <c r="B650" s="324" t="s">
        <v>70</v>
      </c>
      <c r="C650" s="324"/>
      <c r="D650" s="331">
        <f>SUM([1]C018!$C$107:$C$118)</f>
        <v>0</v>
      </c>
      <c r="E650" s="327"/>
      <c r="F650" s="656">
        <f>SUM([1]C018!$D$107:$D$118)</f>
        <v>0</v>
      </c>
      <c r="G650" s="655"/>
      <c r="H650" s="332">
        <f t="shared" si="78"/>
        <v>0</v>
      </c>
      <c r="J650" s="656">
        <f>SUM([1]C018!$E$107:$E$118)</f>
        <v>0</v>
      </c>
      <c r="K650" s="655"/>
      <c r="L650" s="332">
        <f t="shared" si="79"/>
        <v>0</v>
      </c>
      <c r="M650" s="2"/>
      <c r="N650" s="2"/>
      <c r="O650" s="2"/>
      <c r="P650" s="2"/>
      <c r="Q650" s="2"/>
      <c r="R650" s="2"/>
      <c r="S650" s="2"/>
      <c r="T650" s="2"/>
      <c r="U650" s="2"/>
      <c r="V650" s="2"/>
      <c r="W650" s="2"/>
      <c r="X650" s="2"/>
      <c r="Y650" s="2"/>
      <c r="Z650" s="2"/>
      <c r="AA650" s="2"/>
      <c r="AB650" s="2"/>
      <c r="AC650" s="2"/>
      <c r="AD650" s="2"/>
      <c r="AE650" s="2"/>
      <c r="AF650" s="2"/>
      <c r="AG650" s="2"/>
      <c r="AH650" s="2"/>
      <c r="AI650" s="2"/>
      <c r="AJ650" s="2"/>
      <c r="AK650" s="2"/>
    </row>
    <row r="651" spans="2:37">
      <c r="B651" s="1" t="s">
        <v>43</v>
      </c>
      <c r="C651" s="1"/>
      <c r="D651" s="336">
        <v>0</v>
      </c>
      <c r="E651" s="327"/>
      <c r="F651" s="652">
        <v>0</v>
      </c>
      <c r="G651" s="653"/>
      <c r="H651" s="330">
        <f t="shared" si="78"/>
        <v>0</v>
      </c>
      <c r="J651" s="652">
        <v>0</v>
      </c>
      <c r="K651" s="653"/>
      <c r="L651" s="330">
        <f t="shared" si="79"/>
        <v>0</v>
      </c>
      <c r="M651" s="2"/>
      <c r="N651" s="2"/>
      <c r="O651" s="2"/>
      <c r="P651" s="2"/>
      <c r="Q651" s="2"/>
      <c r="R651" s="2"/>
      <c r="S651" s="2"/>
      <c r="T651" s="2"/>
      <c r="U651" s="2"/>
      <c r="V651" s="2"/>
      <c r="W651" s="2"/>
      <c r="X651" s="2"/>
      <c r="Y651" s="2"/>
      <c r="Z651" s="2"/>
      <c r="AA651" s="2"/>
      <c r="AB651" s="2"/>
      <c r="AC651" s="2"/>
      <c r="AD651" s="2"/>
      <c r="AE651" s="2"/>
      <c r="AF651" s="2"/>
      <c r="AG651" s="2"/>
      <c r="AH651" s="2"/>
      <c r="AI651" s="2"/>
      <c r="AJ651" s="2"/>
      <c r="AK651" s="2"/>
    </row>
    <row r="652" spans="2:37">
      <c r="B652" s="324" t="s">
        <v>44</v>
      </c>
      <c r="C652" s="324"/>
      <c r="D652" s="331">
        <f>SUM([1]C022!$C$107:$C$118)</f>
        <v>0</v>
      </c>
      <c r="E652" s="327"/>
      <c r="F652" s="656">
        <f>SUM([1]C022!$D$107:$D$118)</f>
        <v>0</v>
      </c>
      <c r="G652" s="655"/>
      <c r="H652" s="332">
        <f t="shared" si="78"/>
        <v>0</v>
      </c>
      <c r="J652" s="656">
        <f>SUM([1]C022!$E$107:$E$118)</f>
        <v>0</v>
      </c>
      <c r="K652" s="655"/>
      <c r="L652" s="332">
        <f t="shared" si="79"/>
        <v>0</v>
      </c>
      <c r="M652" s="2"/>
      <c r="N652" s="2"/>
      <c r="O652" s="2"/>
      <c r="P652" s="2"/>
      <c r="Q652" s="2"/>
      <c r="R652" s="2"/>
      <c r="S652" s="2"/>
      <c r="T652" s="2"/>
      <c r="U652" s="2"/>
      <c r="V652" s="2"/>
      <c r="W652" s="2"/>
      <c r="X652" s="2"/>
      <c r="Y652" s="2"/>
      <c r="Z652" s="2"/>
      <c r="AA652" s="2"/>
      <c r="AB652" s="2"/>
      <c r="AC652" s="2"/>
      <c r="AD652" s="2"/>
      <c r="AE652" s="2"/>
      <c r="AF652" s="2"/>
      <c r="AG652" s="2"/>
      <c r="AH652" s="2"/>
      <c r="AI652" s="2"/>
      <c r="AJ652" s="2"/>
      <c r="AK652" s="2"/>
    </row>
    <row r="653" spans="2:37">
      <c r="B653" s="1" t="s">
        <v>45</v>
      </c>
      <c r="C653" s="337"/>
      <c r="D653" s="336">
        <v>0</v>
      </c>
      <c r="E653" s="327"/>
      <c r="F653" s="652">
        <v>0</v>
      </c>
      <c r="G653" s="653"/>
      <c r="H653" s="330">
        <f t="shared" si="78"/>
        <v>0</v>
      </c>
      <c r="J653" s="652">
        <v>0</v>
      </c>
      <c r="K653" s="653"/>
      <c r="L653" s="330">
        <f t="shared" si="79"/>
        <v>0</v>
      </c>
      <c r="M653" s="2"/>
      <c r="N653" s="2"/>
      <c r="O653" s="2"/>
      <c r="P653" s="2"/>
      <c r="Q653" s="2"/>
      <c r="R653" s="2"/>
      <c r="S653" s="2"/>
      <c r="T653" s="2"/>
      <c r="U653" s="2"/>
      <c r="V653" s="2"/>
      <c r="W653" s="2"/>
      <c r="X653" s="2"/>
      <c r="Y653" s="2"/>
      <c r="Z653" s="2"/>
      <c r="AA653" s="2"/>
      <c r="AB653" s="2"/>
      <c r="AC653" s="2"/>
      <c r="AD653" s="2"/>
      <c r="AE653" s="2"/>
      <c r="AF653" s="2"/>
      <c r="AG653" s="2"/>
      <c r="AH653" s="2"/>
      <c r="AI653" s="2"/>
      <c r="AJ653" s="2"/>
      <c r="AK653" s="2"/>
    </row>
    <row r="654" spans="2:37">
      <c r="B654" s="324" t="s">
        <v>46</v>
      </c>
      <c r="C654" s="338">
        <v>26</v>
      </c>
      <c r="D654" s="331">
        <f>SUM([1]C026!$C$56:$C$67)</f>
        <v>0</v>
      </c>
      <c r="E654" s="327"/>
      <c r="F654" s="656">
        <f>SUM([1]C026!$D$56:$D$67)</f>
        <v>0</v>
      </c>
      <c r="G654" s="655"/>
      <c r="H654" s="332">
        <f t="shared" si="78"/>
        <v>0</v>
      </c>
      <c r="J654" s="656">
        <f>SUM([1]C026!$E$56:$E$67)</f>
        <v>0</v>
      </c>
      <c r="K654" s="655"/>
      <c r="L654" s="332">
        <f t="shared" si="79"/>
        <v>0</v>
      </c>
      <c r="M654" s="2"/>
      <c r="N654" s="2"/>
      <c r="O654" s="2"/>
      <c r="P654" s="2"/>
      <c r="Q654" s="2"/>
      <c r="R654" s="2"/>
      <c r="S654" s="2"/>
      <c r="T654" s="2"/>
      <c r="U654" s="2"/>
      <c r="V654" s="2"/>
      <c r="W654" s="2"/>
      <c r="X654" s="2"/>
      <c r="Y654" s="2"/>
      <c r="Z654" s="2"/>
      <c r="AA654" s="2"/>
      <c r="AB654" s="2"/>
      <c r="AC654" s="2"/>
      <c r="AD654" s="2"/>
      <c r="AE654" s="2"/>
      <c r="AF654" s="2"/>
      <c r="AG654" s="2"/>
      <c r="AH654" s="2"/>
      <c r="AI654" s="2"/>
      <c r="AJ654" s="2"/>
      <c r="AK654" s="2"/>
    </row>
    <row r="655" spans="2:37">
      <c r="B655" s="1" t="s">
        <v>47</v>
      </c>
      <c r="C655" s="337">
        <v>28</v>
      </c>
      <c r="D655" s="334">
        <f>SUM([1]C028!$C$76:$C$87)</f>
        <v>0</v>
      </c>
      <c r="E655" s="327"/>
      <c r="F655" s="671">
        <f>SUM([1]C028!$D$76:$D$87)</f>
        <v>0</v>
      </c>
      <c r="G655" s="653"/>
      <c r="H655" s="330">
        <f t="shared" si="78"/>
        <v>0</v>
      </c>
      <c r="J655" s="671">
        <f>SUM([1]C028!$E$76:$E$87)</f>
        <v>0</v>
      </c>
      <c r="K655" s="653"/>
      <c r="L655" s="330">
        <f t="shared" si="79"/>
        <v>0</v>
      </c>
      <c r="M655" s="2"/>
      <c r="N655" s="2"/>
      <c r="O655" s="2"/>
      <c r="P655" s="2"/>
      <c r="Q655" s="2"/>
      <c r="R655" s="2"/>
      <c r="S655" s="2"/>
      <c r="T655" s="2"/>
      <c r="U655" s="2"/>
      <c r="V655" s="2"/>
      <c r="W655" s="2"/>
      <c r="X655" s="2"/>
      <c r="Y655" s="2"/>
      <c r="Z655" s="2"/>
      <c r="AA655" s="2"/>
      <c r="AB655" s="2"/>
      <c r="AC655" s="2"/>
      <c r="AD655" s="2"/>
      <c r="AE655" s="2"/>
      <c r="AF655" s="2"/>
      <c r="AG655" s="2"/>
      <c r="AH655" s="2"/>
      <c r="AI655" s="2"/>
      <c r="AJ655" s="2"/>
      <c r="AK655" s="2"/>
    </row>
    <row r="656" spans="2:37">
      <c r="B656" s="324" t="s">
        <v>48</v>
      </c>
      <c r="C656" s="338"/>
      <c r="D656" s="331">
        <f>SUM([1]C029!$C$142:$C$153)</f>
        <v>0</v>
      </c>
      <c r="E656" s="327"/>
      <c r="F656" s="656">
        <f>SUM([1]C029!$D$142:$D$153)</f>
        <v>0</v>
      </c>
      <c r="G656" s="655"/>
      <c r="H656" s="332">
        <f t="shared" si="78"/>
        <v>0</v>
      </c>
      <c r="J656" s="656">
        <f>SUM([1]C029!$E$142:$E$153)</f>
        <v>0</v>
      </c>
      <c r="K656" s="655"/>
      <c r="L656" s="332">
        <f t="shared" si="79"/>
        <v>0</v>
      </c>
      <c r="M656" s="2"/>
      <c r="N656" s="2"/>
      <c r="O656" s="2"/>
      <c r="P656" s="2"/>
      <c r="Q656" s="2"/>
      <c r="R656" s="2"/>
      <c r="S656" s="2"/>
      <c r="T656" s="2"/>
      <c r="U656" s="2"/>
      <c r="V656" s="2"/>
      <c r="W656" s="2"/>
      <c r="X656" s="2"/>
      <c r="Y656" s="2"/>
      <c r="Z656" s="2"/>
      <c r="AA656" s="2"/>
      <c r="AB656" s="2"/>
      <c r="AC656" s="2"/>
      <c r="AD656" s="2"/>
      <c r="AE656" s="2"/>
      <c r="AF656" s="2"/>
      <c r="AG656" s="2"/>
      <c r="AH656" s="2"/>
      <c r="AI656" s="2"/>
      <c r="AJ656" s="2"/>
      <c r="AK656" s="2"/>
    </row>
    <row r="657" spans="2:37">
      <c r="B657" s="1" t="s">
        <v>37</v>
      </c>
      <c r="C657" s="337"/>
      <c r="D657" s="334">
        <f>SUM([1]C030!$C$131:$C$142)</f>
        <v>0</v>
      </c>
      <c r="E657" s="327"/>
      <c r="F657" s="671">
        <f>SUM([1]C030!$D$131:$D$142)</f>
        <v>0</v>
      </c>
      <c r="G657" s="653"/>
      <c r="H657" s="330">
        <f t="shared" si="78"/>
        <v>0</v>
      </c>
      <c r="J657" s="671">
        <f>SUM([1]C030!$E$131:$E$142)</f>
        <v>0</v>
      </c>
      <c r="K657" s="653"/>
      <c r="L657" s="330">
        <f t="shared" si="79"/>
        <v>0</v>
      </c>
      <c r="M657" s="2"/>
      <c r="N657" s="2"/>
      <c r="O657" s="2"/>
      <c r="P657" s="2"/>
      <c r="Q657" s="2"/>
      <c r="R657" s="2"/>
      <c r="S657" s="2"/>
      <c r="T657" s="2"/>
      <c r="U657" s="2"/>
      <c r="V657" s="2"/>
      <c r="W657" s="2"/>
      <c r="X657" s="2"/>
      <c r="Y657" s="2"/>
      <c r="Z657" s="2"/>
      <c r="AA657" s="2"/>
      <c r="AB657" s="2"/>
      <c r="AC657" s="2"/>
      <c r="AD657" s="2"/>
      <c r="AE657" s="2"/>
      <c r="AF657" s="2"/>
      <c r="AG657" s="2"/>
      <c r="AH657" s="2"/>
      <c r="AI657" s="2"/>
      <c r="AJ657" s="2"/>
      <c r="AK657" s="2"/>
    </row>
    <row r="658" spans="2:37">
      <c r="B658" s="324" t="s">
        <v>49</v>
      </c>
      <c r="C658" s="338"/>
      <c r="D658" s="339">
        <v>0</v>
      </c>
      <c r="E658" s="327"/>
      <c r="F658" s="654">
        <v>0</v>
      </c>
      <c r="G658" s="655"/>
      <c r="H658" s="332">
        <f t="shared" si="78"/>
        <v>0</v>
      </c>
      <c r="J658" s="654">
        <v>0</v>
      </c>
      <c r="K658" s="655"/>
      <c r="L658" s="332">
        <f t="shared" si="79"/>
        <v>0</v>
      </c>
      <c r="M658" s="2"/>
      <c r="N658" s="2"/>
      <c r="O658" s="2"/>
      <c r="P658" s="2"/>
      <c r="Q658" s="2"/>
      <c r="R658" s="2"/>
      <c r="S658" s="2"/>
      <c r="T658" s="2"/>
      <c r="U658" s="2"/>
      <c r="V658" s="2"/>
      <c r="W658" s="2"/>
      <c r="X658" s="2"/>
      <c r="Y658" s="2"/>
      <c r="Z658" s="2"/>
      <c r="AA658" s="2"/>
      <c r="AB658" s="2"/>
      <c r="AC658" s="2"/>
      <c r="AD658" s="2"/>
      <c r="AE658" s="2"/>
      <c r="AF658" s="2"/>
      <c r="AG658" s="2"/>
      <c r="AH658" s="2"/>
      <c r="AI658" s="2"/>
      <c r="AJ658" s="2"/>
      <c r="AK658" s="2"/>
    </row>
    <row r="659" spans="2:37">
      <c r="B659" s="370" t="str">
        <f>B338</f>
        <v>Career and Postsecondary Ed.</v>
      </c>
      <c r="C659" s="337"/>
      <c r="D659" s="334">
        <f>SUM([1]C034!$C$118:$C$129)</f>
        <v>0</v>
      </c>
      <c r="E659" s="327"/>
      <c r="F659" s="671">
        <f>SUM([1]C034!$D$118:$D$129)</f>
        <v>0</v>
      </c>
      <c r="G659" s="653"/>
      <c r="H659" s="330">
        <f t="shared" si="78"/>
        <v>0</v>
      </c>
      <c r="J659" s="671">
        <f>SUM([1]C034!$E$118:$E$129)</f>
        <v>0</v>
      </c>
      <c r="K659" s="653"/>
      <c r="L659" s="330">
        <f t="shared" si="79"/>
        <v>0</v>
      </c>
      <c r="M659" s="2"/>
      <c r="N659" s="2"/>
      <c r="O659" s="2"/>
      <c r="P659" s="2"/>
      <c r="Q659" s="2"/>
      <c r="R659" s="2"/>
      <c r="S659" s="2"/>
      <c r="T659" s="2"/>
      <c r="U659" s="2"/>
      <c r="V659" s="2"/>
      <c r="W659" s="2"/>
      <c r="X659" s="2"/>
      <c r="Y659" s="2"/>
      <c r="Z659" s="2"/>
      <c r="AA659" s="2"/>
      <c r="AB659" s="2"/>
      <c r="AC659" s="2"/>
      <c r="AD659" s="2"/>
      <c r="AE659" s="2"/>
      <c r="AF659" s="2"/>
      <c r="AG659" s="2"/>
      <c r="AH659" s="2"/>
      <c r="AI659" s="2"/>
      <c r="AJ659" s="2"/>
      <c r="AK659" s="2"/>
    </row>
    <row r="660" spans="2:37" ht="15.75">
      <c r="B660" s="324" t="s">
        <v>178</v>
      </c>
      <c r="C660" s="338"/>
      <c r="D660" s="331">
        <f>SUM([1]C035!$C$141:$C$152)</f>
        <v>0</v>
      </c>
      <c r="E660" s="327"/>
      <c r="F660" s="656">
        <f>SUM([1]C035!$D$141:$D$152)</f>
        <v>0</v>
      </c>
      <c r="G660" s="655"/>
      <c r="H660" s="332">
        <f t="shared" si="78"/>
        <v>0</v>
      </c>
      <c r="J660" s="656">
        <f>SUM([1]C035!$E$141:$E$152)</f>
        <v>0</v>
      </c>
      <c r="K660" s="655"/>
      <c r="L660" s="332">
        <f t="shared" si="79"/>
        <v>0</v>
      </c>
      <c r="M660" s="2"/>
      <c r="N660" s="2"/>
      <c r="O660" s="2"/>
      <c r="P660" s="2"/>
      <c r="Q660" s="2"/>
      <c r="R660" s="2"/>
      <c r="S660" s="2"/>
      <c r="T660" s="2"/>
      <c r="U660" s="2"/>
      <c r="V660" s="2"/>
      <c r="W660" s="2"/>
      <c r="X660" s="2"/>
      <c r="Y660" s="2"/>
      <c r="Z660" s="2"/>
      <c r="AA660" s="2"/>
      <c r="AB660" s="2"/>
      <c r="AC660" s="2"/>
      <c r="AD660" s="2"/>
      <c r="AE660" s="2"/>
      <c r="AF660" s="2"/>
      <c r="AG660" s="2"/>
      <c r="AH660" s="2"/>
      <c r="AI660" s="2"/>
      <c r="AJ660" s="2"/>
      <c r="AK660" s="2"/>
    </row>
    <row r="661" spans="2:37">
      <c r="B661" s="1" t="s">
        <v>71</v>
      </c>
      <c r="C661" s="337">
        <v>42</v>
      </c>
      <c r="D661" s="336">
        <v>0</v>
      </c>
      <c r="E661" s="327"/>
      <c r="F661" s="652">
        <v>0</v>
      </c>
      <c r="G661" s="653"/>
      <c r="H661" s="330">
        <f t="shared" si="78"/>
        <v>0</v>
      </c>
      <c r="J661" s="652">
        <v>0</v>
      </c>
      <c r="K661" s="653"/>
      <c r="L661" s="330">
        <f t="shared" si="79"/>
        <v>0</v>
      </c>
      <c r="M661" s="2"/>
      <c r="N661" s="2"/>
      <c r="O661" s="2"/>
      <c r="P661" s="2"/>
      <c r="Q661" s="2"/>
      <c r="R661" s="2"/>
      <c r="S661" s="2"/>
      <c r="T661" s="2"/>
      <c r="U661" s="2"/>
      <c r="V661" s="2"/>
      <c r="W661" s="2"/>
      <c r="X661" s="2"/>
      <c r="Y661" s="2"/>
      <c r="Z661" s="2"/>
      <c r="AA661" s="2"/>
      <c r="AB661" s="2"/>
      <c r="AC661" s="2"/>
      <c r="AD661" s="2"/>
      <c r="AE661" s="2"/>
      <c r="AF661" s="2"/>
      <c r="AG661" s="2"/>
      <c r="AH661" s="2"/>
      <c r="AI661" s="2"/>
      <c r="AJ661" s="2"/>
      <c r="AK661" s="2"/>
    </row>
    <row r="662" spans="2:37">
      <c r="B662" s="324" t="s">
        <v>51</v>
      </c>
      <c r="C662" s="338">
        <v>44</v>
      </c>
      <c r="D662" s="339">
        <v>0</v>
      </c>
      <c r="E662" s="327"/>
      <c r="F662" s="654">
        <v>0</v>
      </c>
      <c r="G662" s="655"/>
      <c r="H662" s="332">
        <f t="shared" si="78"/>
        <v>0</v>
      </c>
      <c r="J662" s="654">
        <v>0</v>
      </c>
      <c r="K662" s="655"/>
      <c r="L662" s="332">
        <f t="shared" si="79"/>
        <v>0</v>
      </c>
      <c r="M662" s="2"/>
      <c r="N662" s="2"/>
      <c r="O662" s="2"/>
      <c r="P662" s="2"/>
      <c r="Q662" s="2"/>
      <c r="R662" s="2"/>
      <c r="S662" s="2"/>
      <c r="T662" s="2"/>
      <c r="U662" s="2"/>
      <c r="V662" s="2"/>
      <c r="W662" s="2"/>
      <c r="X662" s="2"/>
      <c r="Y662" s="2"/>
      <c r="Z662" s="2"/>
      <c r="AA662" s="2"/>
      <c r="AB662" s="2"/>
      <c r="AC662" s="2"/>
      <c r="AD662" s="2"/>
      <c r="AE662" s="2"/>
      <c r="AF662" s="2"/>
      <c r="AG662" s="2"/>
      <c r="AH662" s="2"/>
      <c r="AI662" s="2"/>
      <c r="AJ662" s="2"/>
      <c r="AK662" s="2"/>
    </row>
    <row r="663" spans="2:37">
      <c r="B663" s="45" t="s">
        <v>52</v>
      </c>
      <c r="C663" s="340">
        <v>45</v>
      </c>
      <c r="D663" s="341">
        <v>0</v>
      </c>
      <c r="E663" s="327"/>
      <c r="F663" s="652">
        <v>0</v>
      </c>
      <c r="G663" s="653"/>
      <c r="H663" s="330">
        <f t="shared" si="78"/>
        <v>0</v>
      </c>
      <c r="J663" s="652">
        <v>0</v>
      </c>
      <c r="K663" s="653"/>
      <c r="L663" s="330">
        <f t="shared" si="79"/>
        <v>0</v>
      </c>
      <c r="M663" s="2"/>
      <c r="N663" s="2"/>
      <c r="O663" s="2"/>
      <c r="P663" s="2"/>
      <c r="Q663" s="2"/>
      <c r="R663" s="2"/>
      <c r="S663" s="2"/>
      <c r="T663" s="2"/>
      <c r="U663" s="2"/>
      <c r="V663" s="2"/>
      <c r="W663" s="2"/>
      <c r="X663" s="2"/>
      <c r="Y663" s="2"/>
      <c r="Z663" s="2"/>
      <c r="AA663" s="2"/>
      <c r="AB663" s="2"/>
      <c r="AC663" s="2"/>
      <c r="AD663" s="2"/>
      <c r="AE663" s="2"/>
      <c r="AF663" s="2"/>
      <c r="AG663" s="2"/>
      <c r="AH663" s="2"/>
      <c r="AI663" s="2"/>
      <c r="AJ663" s="2"/>
      <c r="AK663" s="2"/>
    </row>
    <row r="664" spans="2:37">
      <c r="B664" s="342" t="s">
        <v>72</v>
      </c>
      <c r="C664" s="343">
        <v>46</v>
      </c>
      <c r="D664" s="344">
        <v>0</v>
      </c>
      <c r="E664" s="327"/>
      <c r="F664" s="654">
        <v>0</v>
      </c>
      <c r="G664" s="655"/>
      <c r="H664" s="332">
        <f t="shared" si="78"/>
        <v>0</v>
      </c>
      <c r="J664" s="676"/>
      <c r="K664" s="677"/>
      <c r="L664" s="345"/>
      <c r="M664" s="2"/>
      <c r="N664" s="2"/>
      <c r="O664" s="2"/>
      <c r="P664" s="2"/>
      <c r="Q664" s="2"/>
      <c r="R664" s="2"/>
      <c r="S664" s="2"/>
      <c r="T664" s="2"/>
      <c r="U664" s="2"/>
      <c r="V664" s="2"/>
      <c r="W664" s="2"/>
      <c r="X664" s="2"/>
      <c r="Y664" s="2"/>
      <c r="Z664" s="2"/>
      <c r="AA664" s="2"/>
      <c r="AB664" s="2"/>
      <c r="AC664" s="2"/>
      <c r="AD664" s="2"/>
      <c r="AE664" s="2"/>
      <c r="AF664" s="2"/>
      <c r="AG664" s="2"/>
      <c r="AH664" s="2"/>
      <c r="AI664" s="2"/>
      <c r="AJ664" s="2"/>
      <c r="AK664" s="2"/>
    </row>
    <row r="665" spans="2:37">
      <c r="B665" s="45" t="s">
        <v>54</v>
      </c>
      <c r="C665" s="340"/>
      <c r="D665" s="329">
        <f>SUM([1]C051!$C$29)</f>
        <v>0</v>
      </c>
      <c r="E665" s="327"/>
      <c r="F665" s="671">
        <f>SUM([1]C051!$D$29)</f>
        <v>0</v>
      </c>
      <c r="G665" s="653"/>
      <c r="H665" s="330">
        <f t="shared" si="78"/>
        <v>0</v>
      </c>
      <c r="J665" s="671">
        <f>SUM([1]C051!$E$29)</f>
        <v>0</v>
      </c>
      <c r="K665" s="653"/>
      <c r="L665" s="330">
        <f>IF(F665=0,0,((J665-F665)/F665))</f>
        <v>0</v>
      </c>
      <c r="M665" s="2"/>
      <c r="N665" s="2"/>
      <c r="O665" s="2"/>
      <c r="P665" s="2"/>
      <c r="Q665" s="2"/>
      <c r="R665" s="2"/>
      <c r="S665" s="2"/>
      <c r="T665" s="2"/>
      <c r="U665" s="2"/>
      <c r="V665" s="2"/>
      <c r="W665" s="2"/>
      <c r="X665" s="2"/>
      <c r="Y665" s="2"/>
      <c r="Z665" s="2"/>
      <c r="AA665" s="2"/>
      <c r="AB665" s="2"/>
      <c r="AC665" s="2"/>
      <c r="AD665" s="2"/>
      <c r="AE665" s="2"/>
      <c r="AF665" s="2"/>
      <c r="AG665" s="2"/>
      <c r="AH665" s="2"/>
      <c r="AI665" s="2"/>
      <c r="AJ665" s="2"/>
      <c r="AK665" s="2"/>
    </row>
    <row r="666" spans="2:37">
      <c r="B666" s="342" t="s">
        <v>55</v>
      </c>
      <c r="C666" s="343"/>
      <c r="D666" s="346">
        <f>SUM([1]C053!$C$120:$C$131)</f>
        <v>0</v>
      </c>
      <c r="E666" s="327"/>
      <c r="F666" s="656">
        <f>SUM([1]C053!$D$120:$D$131)</f>
        <v>0</v>
      </c>
      <c r="G666" s="655"/>
      <c r="H666" s="332">
        <f t="shared" si="78"/>
        <v>0</v>
      </c>
      <c r="J666" s="678"/>
      <c r="K666" s="679"/>
      <c r="L666" s="347"/>
      <c r="M666" s="2"/>
      <c r="N666" s="2"/>
      <c r="O666" s="2"/>
      <c r="P666" s="2"/>
      <c r="Q666" s="2"/>
      <c r="R666" s="2"/>
      <c r="S666" s="2"/>
      <c r="T666" s="2"/>
      <c r="U666" s="2"/>
      <c r="V666" s="2"/>
      <c r="W666" s="2"/>
      <c r="X666" s="2"/>
      <c r="Y666" s="2"/>
      <c r="Z666" s="2"/>
      <c r="AA666" s="2"/>
      <c r="AB666" s="2"/>
      <c r="AC666" s="2"/>
      <c r="AD666" s="2"/>
      <c r="AE666" s="2"/>
      <c r="AF666" s="2"/>
      <c r="AG666" s="2"/>
      <c r="AH666" s="2"/>
      <c r="AI666" s="2"/>
      <c r="AJ666" s="2"/>
      <c r="AK666" s="2"/>
    </row>
    <row r="667" spans="2:37">
      <c r="B667" s="45" t="s">
        <v>78</v>
      </c>
      <c r="C667" s="340">
        <v>54</v>
      </c>
      <c r="D667" s="341">
        <v>0</v>
      </c>
      <c r="E667" s="327"/>
      <c r="F667" s="652">
        <v>0</v>
      </c>
      <c r="G667" s="653"/>
      <c r="H667" s="330">
        <f t="shared" si="78"/>
        <v>0</v>
      </c>
      <c r="J667" s="680"/>
      <c r="K667" s="681"/>
      <c r="L667" s="348"/>
      <c r="M667" s="2"/>
      <c r="N667" s="2"/>
      <c r="O667" s="2"/>
      <c r="P667" s="2"/>
      <c r="Q667" s="2"/>
      <c r="R667" s="2"/>
      <c r="S667" s="2"/>
      <c r="T667" s="2"/>
      <c r="U667" s="2"/>
      <c r="V667" s="2"/>
      <c r="W667" s="2"/>
      <c r="X667" s="2"/>
      <c r="Y667" s="2"/>
      <c r="Z667" s="2"/>
      <c r="AA667" s="2"/>
      <c r="AB667" s="2"/>
      <c r="AC667" s="2"/>
      <c r="AD667" s="2"/>
      <c r="AE667" s="2"/>
      <c r="AF667" s="2"/>
      <c r="AG667" s="2"/>
      <c r="AH667" s="2"/>
      <c r="AI667" s="2"/>
      <c r="AJ667" s="2"/>
      <c r="AK667" s="2"/>
    </row>
    <row r="668" spans="2:37">
      <c r="B668" s="342" t="s">
        <v>57</v>
      </c>
      <c r="C668" s="343"/>
      <c r="D668" s="344">
        <v>0</v>
      </c>
      <c r="E668" s="327"/>
      <c r="F668" s="654">
        <v>0</v>
      </c>
      <c r="G668" s="655"/>
      <c r="H668" s="332">
        <f t="shared" si="78"/>
        <v>0</v>
      </c>
      <c r="J668" s="682"/>
      <c r="K668" s="683"/>
      <c r="L668" s="349"/>
      <c r="M668" s="2"/>
      <c r="N668" s="2"/>
      <c r="O668" s="2"/>
      <c r="P668" s="2"/>
      <c r="Q668" s="2"/>
      <c r="R668" s="2"/>
      <c r="S668" s="2"/>
      <c r="T668" s="2"/>
      <c r="U668" s="2"/>
      <c r="V668" s="2"/>
      <c r="W668" s="2"/>
      <c r="X668" s="2"/>
      <c r="Y668" s="2"/>
      <c r="Z668" s="2"/>
      <c r="AA668" s="2"/>
      <c r="AB668" s="2"/>
      <c r="AC668" s="2"/>
      <c r="AD668" s="2"/>
      <c r="AE668" s="2"/>
      <c r="AF668" s="2"/>
      <c r="AG668" s="2"/>
      <c r="AH668" s="2"/>
      <c r="AI668" s="2"/>
      <c r="AJ668" s="2"/>
      <c r="AK668" s="2"/>
    </row>
    <row r="669" spans="2:37">
      <c r="B669" s="350" t="str">
        <f>B1118</f>
        <v>Bond and Interest #1</v>
      </c>
      <c r="C669" s="340">
        <v>62</v>
      </c>
      <c r="D669" s="341">
        <v>0</v>
      </c>
      <c r="E669" s="327"/>
      <c r="F669" s="652">
        <v>0</v>
      </c>
      <c r="G669" s="653"/>
      <c r="H669" s="330">
        <f t="shared" si="78"/>
        <v>0</v>
      </c>
      <c r="J669" s="652">
        <v>0</v>
      </c>
      <c r="K669" s="653"/>
      <c r="L669" s="330">
        <f t="shared" ref="L669:L680" si="80">IF(F669=0,0,((J669-F669)/F669))</f>
        <v>0</v>
      </c>
      <c r="M669" s="2"/>
      <c r="N669" s="2"/>
      <c r="O669" s="2"/>
      <c r="P669" s="2"/>
      <c r="Q669" s="2"/>
      <c r="R669" s="2"/>
      <c r="S669" s="2"/>
      <c r="T669" s="2"/>
      <c r="U669" s="2"/>
      <c r="V669" s="2"/>
      <c r="W669" s="2"/>
      <c r="X669" s="2"/>
      <c r="Y669" s="2"/>
      <c r="Z669" s="2"/>
      <c r="AA669" s="2"/>
      <c r="AB669" s="2"/>
      <c r="AC669" s="2"/>
      <c r="AD669" s="2"/>
      <c r="AE669" s="2"/>
      <c r="AF669" s="2"/>
      <c r="AG669" s="2"/>
      <c r="AH669" s="2"/>
      <c r="AI669" s="2"/>
      <c r="AJ669" s="2"/>
      <c r="AK669" s="2"/>
    </row>
    <row r="670" spans="2:37">
      <c r="B670" s="351" t="str">
        <f>B1119</f>
        <v>Bond and Interest #2</v>
      </c>
      <c r="C670" s="343">
        <v>63</v>
      </c>
      <c r="D670" s="344">
        <v>0</v>
      </c>
      <c r="E670" s="327"/>
      <c r="F670" s="654">
        <v>0</v>
      </c>
      <c r="G670" s="655"/>
      <c r="H670" s="332">
        <f t="shared" si="78"/>
        <v>0</v>
      </c>
      <c r="J670" s="654">
        <v>0</v>
      </c>
      <c r="K670" s="655"/>
      <c r="L670" s="332">
        <f t="shared" si="80"/>
        <v>0</v>
      </c>
      <c r="M670" s="2"/>
      <c r="N670" s="2"/>
      <c r="O670" s="2"/>
      <c r="P670" s="2"/>
      <c r="Q670" s="2"/>
      <c r="R670" s="2"/>
      <c r="S670" s="2"/>
      <c r="T670" s="2"/>
      <c r="U670" s="2"/>
      <c r="V670" s="2"/>
      <c r="W670" s="2"/>
      <c r="X670" s="2"/>
      <c r="Y670" s="2"/>
      <c r="Z670" s="2"/>
      <c r="AA670" s="2"/>
      <c r="AB670" s="2"/>
      <c r="AC670" s="2"/>
      <c r="AD670" s="2"/>
      <c r="AE670" s="2"/>
      <c r="AF670" s="2"/>
      <c r="AG670" s="2"/>
      <c r="AH670" s="2"/>
      <c r="AI670" s="2"/>
      <c r="AJ670" s="2"/>
      <c r="AK670" s="2"/>
    </row>
    <row r="671" spans="2:37">
      <c r="B671" s="45" t="s">
        <v>58</v>
      </c>
      <c r="C671" s="340">
        <v>66</v>
      </c>
      <c r="D671" s="341">
        <v>0</v>
      </c>
      <c r="E671" s="327"/>
      <c r="F671" s="652">
        <v>0</v>
      </c>
      <c r="G671" s="653"/>
      <c r="H671" s="330">
        <f t="shared" si="78"/>
        <v>0</v>
      </c>
      <c r="J671" s="652">
        <v>0</v>
      </c>
      <c r="K671" s="653"/>
      <c r="L671" s="330">
        <f t="shared" si="80"/>
        <v>0</v>
      </c>
      <c r="M671" s="2"/>
      <c r="N671" s="2"/>
      <c r="O671" s="2"/>
      <c r="P671" s="2"/>
      <c r="Q671" s="2"/>
      <c r="R671" s="2"/>
      <c r="S671" s="2"/>
      <c r="T671" s="2"/>
      <c r="U671" s="2"/>
      <c r="V671" s="2"/>
      <c r="W671" s="2"/>
      <c r="X671" s="2"/>
      <c r="Y671" s="2"/>
      <c r="Z671" s="2"/>
      <c r="AA671" s="2"/>
      <c r="AB671" s="2"/>
      <c r="AC671" s="2"/>
      <c r="AD671" s="2"/>
      <c r="AE671" s="2"/>
      <c r="AF671" s="2"/>
      <c r="AG671" s="2"/>
      <c r="AH671" s="2"/>
      <c r="AI671" s="2"/>
      <c r="AJ671" s="2"/>
      <c r="AK671" s="2"/>
    </row>
    <row r="672" spans="2:37">
      <c r="B672" s="342" t="s">
        <v>59</v>
      </c>
      <c r="C672" s="343">
        <v>67</v>
      </c>
      <c r="D672" s="344">
        <v>0</v>
      </c>
      <c r="E672" s="327"/>
      <c r="F672" s="654">
        <v>0</v>
      </c>
      <c r="G672" s="655"/>
      <c r="H672" s="332">
        <f t="shared" si="78"/>
        <v>0</v>
      </c>
      <c r="J672" s="654">
        <v>0</v>
      </c>
      <c r="K672" s="655"/>
      <c r="L672" s="332">
        <f t="shared" si="80"/>
        <v>0</v>
      </c>
      <c r="M672" s="2"/>
      <c r="N672" s="2"/>
      <c r="O672" s="2"/>
      <c r="P672" s="2"/>
      <c r="Q672" s="2"/>
      <c r="R672" s="2"/>
      <c r="S672" s="2"/>
      <c r="T672" s="2"/>
      <c r="U672" s="2"/>
      <c r="V672" s="2"/>
      <c r="W672" s="2"/>
      <c r="X672" s="2"/>
      <c r="Y672" s="2"/>
      <c r="Z672" s="2"/>
      <c r="AA672" s="2"/>
      <c r="AB672" s="2"/>
      <c r="AC672" s="2"/>
      <c r="AD672" s="2"/>
      <c r="AE672" s="2"/>
      <c r="AF672" s="2"/>
      <c r="AG672" s="2"/>
      <c r="AH672" s="2"/>
      <c r="AI672" s="2"/>
      <c r="AJ672" s="2"/>
      <c r="AK672" s="2"/>
    </row>
    <row r="673" spans="2:37" ht="15" thickBot="1">
      <c r="B673" s="45" t="s">
        <v>60</v>
      </c>
      <c r="C673" s="340">
        <v>68</v>
      </c>
      <c r="D673" s="341">
        <v>0</v>
      </c>
      <c r="E673" s="327"/>
      <c r="F673" s="669">
        <v>0</v>
      </c>
      <c r="G673" s="670"/>
      <c r="H673" s="247">
        <f t="shared" si="78"/>
        <v>0</v>
      </c>
      <c r="J673" s="669">
        <v>0</v>
      </c>
      <c r="K673" s="670"/>
      <c r="L673" s="247">
        <f t="shared" si="80"/>
        <v>0</v>
      </c>
      <c r="M673" s="2"/>
      <c r="N673" s="2"/>
      <c r="O673" s="2"/>
      <c r="P673" s="2"/>
      <c r="Q673" s="2"/>
      <c r="R673" s="2"/>
      <c r="S673" s="2"/>
      <c r="T673" s="2"/>
      <c r="U673" s="2"/>
      <c r="V673" s="2"/>
      <c r="W673" s="2"/>
      <c r="X673" s="2"/>
      <c r="Y673" s="2"/>
      <c r="Z673" s="2"/>
      <c r="AA673" s="2"/>
      <c r="AB673" s="2"/>
      <c r="AC673" s="2"/>
      <c r="AD673" s="2"/>
      <c r="AE673" s="2"/>
      <c r="AF673" s="2"/>
      <c r="AG673" s="2"/>
      <c r="AH673" s="2"/>
      <c r="AI673" s="2"/>
      <c r="AJ673" s="2"/>
      <c r="AK673" s="2"/>
    </row>
    <row r="674" spans="2:37" ht="15" thickTop="1">
      <c r="B674" s="353" t="s">
        <v>61</v>
      </c>
      <c r="C674" s="353"/>
      <c r="D674" s="371">
        <f>SUM(D642:D673)</f>
        <v>0</v>
      </c>
      <c r="E674" s="327"/>
      <c r="F674" s="667">
        <f>SUM(F642:G673)</f>
        <v>54</v>
      </c>
      <c r="G674" s="668"/>
      <c r="H674" s="372">
        <f t="shared" si="78"/>
        <v>0</v>
      </c>
      <c r="J674" s="667">
        <f>SUM(J642:K673)</f>
        <v>0</v>
      </c>
      <c r="K674" s="668"/>
      <c r="L674" s="372">
        <f t="shared" si="80"/>
        <v>-1</v>
      </c>
      <c r="M674" s="2"/>
      <c r="N674" s="2"/>
      <c r="O674" s="2"/>
      <c r="P674" s="2"/>
      <c r="Q674" s="2"/>
      <c r="R674" s="2"/>
      <c r="S674" s="2"/>
      <c r="T674" s="2"/>
      <c r="U674" s="2"/>
      <c r="V674" s="2"/>
      <c r="W674" s="2"/>
      <c r="X674" s="2"/>
      <c r="Y674" s="2"/>
      <c r="Z674" s="2"/>
      <c r="AA674" s="2"/>
      <c r="AB674" s="2"/>
      <c r="AC674" s="2"/>
      <c r="AD674" s="2"/>
      <c r="AE674" s="2"/>
      <c r="AF674" s="2"/>
      <c r="AG674" s="2"/>
      <c r="AH674" s="2"/>
      <c r="AI674" s="2"/>
      <c r="AJ674" s="2"/>
      <c r="AK674" s="2"/>
    </row>
    <row r="675" spans="2:37" ht="15.75">
      <c r="B675" s="45" t="s">
        <v>181</v>
      </c>
      <c r="C675" s="45"/>
      <c r="D675" s="356">
        <f>G1312</f>
        <v>70.7</v>
      </c>
      <c r="E675" s="327"/>
      <c r="F675" s="665">
        <f>I1312</f>
        <v>82.5</v>
      </c>
      <c r="G675" s="666"/>
      <c r="H675" s="247">
        <f t="shared" si="78"/>
        <v>0.17</v>
      </c>
      <c r="J675" s="665">
        <f>K1312</f>
        <v>70</v>
      </c>
      <c r="K675" s="666"/>
      <c r="L675" s="247">
        <f t="shared" si="80"/>
        <v>-0.15</v>
      </c>
      <c r="M675" s="2"/>
      <c r="N675" s="2"/>
      <c r="O675" s="2"/>
      <c r="P675" s="2"/>
      <c r="Q675" s="2"/>
      <c r="R675" s="2"/>
      <c r="S675" s="2"/>
      <c r="T675" s="2"/>
      <c r="U675" s="2"/>
      <c r="V675" s="2"/>
      <c r="W675" s="2"/>
      <c r="X675" s="2"/>
      <c r="Y675" s="2"/>
      <c r="Z675" s="2"/>
      <c r="AA675" s="2"/>
      <c r="AB675" s="2"/>
      <c r="AC675" s="2"/>
      <c r="AD675" s="2"/>
      <c r="AE675" s="2"/>
      <c r="AF675" s="2"/>
      <c r="AG675" s="2"/>
      <c r="AH675" s="2"/>
      <c r="AI675" s="2"/>
      <c r="AJ675" s="2"/>
      <c r="AK675" s="2"/>
    </row>
    <row r="676" spans="2:37" ht="16.5" thickBot="1">
      <c r="B676" s="342" t="s">
        <v>182</v>
      </c>
      <c r="C676" s="342"/>
      <c r="D676" s="346">
        <f>IF(D674=0,0,D674/D675)</f>
        <v>0</v>
      </c>
      <c r="E676" s="327"/>
      <c r="F676" s="663">
        <f>IF(F674=0,0,F674/F675)</f>
        <v>1</v>
      </c>
      <c r="G676" s="664"/>
      <c r="H676" s="357">
        <f t="shared" si="78"/>
        <v>0</v>
      </c>
      <c r="J676" s="663">
        <f>IF(J674=0,0,J674/J675)</f>
        <v>0</v>
      </c>
      <c r="K676" s="664"/>
      <c r="L676" s="357">
        <f t="shared" si="80"/>
        <v>-1</v>
      </c>
      <c r="M676" s="2"/>
      <c r="N676" s="2"/>
      <c r="O676" s="2"/>
      <c r="P676" s="2"/>
      <c r="Q676" s="2"/>
      <c r="R676" s="2"/>
      <c r="S676" s="2"/>
      <c r="T676" s="2"/>
      <c r="U676" s="2"/>
      <c r="V676" s="2"/>
      <c r="W676" s="2"/>
      <c r="X676" s="2"/>
      <c r="Y676" s="2"/>
      <c r="Z676" s="2"/>
      <c r="AA676" s="2"/>
      <c r="AB676" s="2"/>
      <c r="AC676" s="2"/>
      <c r="AD676" s="2"/>
      <c r="AE676" s="2"/>
      <c r="AF676" s="2"/>
      <c r="AG676" s="2"/>
      <c r="AH676" s="2"/>
      <c r="AI676" s="2"/>
      <c r="AJ676" s="2"/>
      <c r="AK676" s="2"/>
    </row>
    <row r="677" spans="2:37">
      <c r="B677" s="358" t="s">
        <v>63</v>
      </c>
      <c r="C677" s="358"/>
      <c r="D677" s="389">
        <v>0</v>
      </c>
      <c r="E677" s="327"/>
      <c r="F677" s="661">
        <v>0</v>
      </c>
      <c r="G677" s="662"/>
      <c r="H677" s="360">
        <f t="shared" si="78"/>
        <v>0</v>
      </c>
      <c r="J677" s="661">
        <v>0</v>
      </c>
      <c r="K677" s="662"/>
      <c r="L677" s="360">
        <f t="shared" si="80"/>
        <v>0</v>
      </c>
      <c r="M677" s="2"/>
      <c r="N677" s="2"/>
      <c r="O677" s="2"/>
      <c r="P677" s="2"/>
      <c r="Q677" s="2"/>
      <c r="R677" s="2"/>
      <c r="S677" s="2"/>
      <c r="T677" s="2"/>
      <c r="U677" s="2"/>
      <c r="V677" s="2"/>
      <c r="W677" s="2"/>
      <c r="X677" s="2"/>
      <c r="Y677" s="2"/>
      <c r="Z677" s="2"/>
      <c r="AA677" s="2"/>
      <c r="AB677" s="2"/>
      <c r="AC677" s="2"/>
      <c r="AD677" s="2"/>
      <c r="AE677" s="2"/>
      <c r="AF677" s="2"/>
      <c r="AG677" s="2"/>
      <c r="AH677" s="2"/>
      <c r="AI677" s="2"/>
      <c r="AJ677" s="2"/>
      <c r="AK677" s="2"/>
    </row>
    <row r="678" spans="2:37">
      <c r="B678" s="342" t="s">
        <v>64</v>
      </c>
      <c r="C678" s="342"/>
      <c r="D678" s="339">
        <v>0</v>
      </c>
      <c r="E678" s="327"/>
      <c r="F678" s="654">
        <v>0</v>
      </c>
      <c r="G678" s="655"/>
      <c r="H678" s="332">
        <f t="shared" si="78"/>
        <v>0</v>
      </c>
      <c r="J678" s="654">
        <v>0</v>
      </c>
      <c r="K678" s="655"/>
      <c r="L678" s="332">
        <f t="shared" si="80"/>
        <v>0</v>
      </c>
      <c r="M678" s="2"/>
      <c r="N678" s="2"/>
      <c r="O678" s="2"/>
      <c r="P678" s="2"/>
      <c r="Q678" s="2"/>
      <c r="R678" s="2"/>
      <c r="S678" s="2"/>
      <c r="T678" s="2"/>
      <c r="U678" s="2"/>
      <c r="V678" s="2"/>
      <c r="W678" s="2"/>
      <c r="X678" s="2"/>
      <c r="Y678" s="2"/>
      <c r="Z678" s="2"/>
      <c r="AA678" s="2"/>
      <c r="AB678" s="2"/>
      <c r="AC678" s="2"/>
      <c r="AD678" s="2"/>
      <c r="AE678" s="2"/>
      <c r="AF678" s="2"/>
      <c r="AG678" s="2"/>
      <c r="AH678" s="2"/>
      <c r="AI678" s="2"/>
      <c r="AJ678" s="2"/>
      <c r="AK678" s="2"/>
    </row>
    <row r="679" spans="2:37" ht="15" thickBot="1">
      <c r="B679" s="361" t="s">
        <v>65</v>
      </c>
      <c r="C679" s="361"/>
      <c r="D679" s="362">
        <f>SUM([1]C078!$C$122:$C$133)</f>
        <v>0</v>
      </c>
      <c r="E679" s="327"/>
      <c r="F679" s="684">
        <f>SUM([1]C078!$D$122:$D$133)</f>
        <v>0</v>
      </c>
      <c r="G679" s="660"/>
      <c r="H679" s="363">
        <f t="shared" si="78"/>
        <v>0</v>
      </c>
      <c r="J679" s="684">
        <f>SUM([1]C078!$E$122:$E$133)</f>
        <v>0</v>
      </c>
      <c r="K679" s="660"/>
      <c r="L679" s="363">
        <f t="shared" si="80"/>
        <v>0</v>
      </c>
      <c r="M679" s="2"/>
      <c r="N679" s="2"/>
      <c r="O679" s="2"/>
      <c r="P679" s="2"/>
      <c r="Q679" s="2"/>
      <c r="R679" s="2"/>
      <c r="S679" s="2"/>
      <c r="T679" s="2"/>
      <c r="U679" s="2"/>
      <c r="V679" s="2"/>
      <c r="W679" s="2"/>
      <c r="X679" s="2"/>
      <c r="Y679" s="2"/>
      <c r="Z679" s="2"/>
      <c r="AA679" s="2"/>
      <c r="AB679" s="2"/>
      <c r="AC679" s="2"/>
      <c r="AD679" s="2"/>
      <c r="AE679" s="2"/>
      <c r="AF679" s="2"/>
      <c r="AG679" s="2"/>
      <c r="AH679" s="2"/>
      <c r="AI679" s="2"/>
      <c r="AJ679" s="2"/>
      <c r="AK679" s="2"/>
    </row>
    <row r="680" spans="2:37" ht="15" thickTop="1">
      <c r="B680" s="365" t="s">
        <v>66</v>
      </c>
      <c r="C680" s="365"/>
      <c r="D680" s="373">
        <f>SUM(D677:D679,D674)</f>
        <v>0</v>
      </c>
      <c r="E680" s="327"/>
      <c r="F680" s="657">
        <f>SUM(F677:G679,F674)</f>
        <v>54</v>
      </c>
      <c r="G680" s="658"/>
      <c r="H680" s="374">
        <f t="shared" si="78"/>
        <v>0</v>
      </c>
      <c r="J680" s="657">
        <f>SUM(J677:K679,J674)</f>
        <v>0</v>
      </c>
      <c r="K680" s="658"/>
      <c r="L680" s="374">
        <f t="shared" si="80"/>
        <v>-1</v>
      </c>
      <c r="M680" s="2"/>
      <c r="N680" s="2"/>
      <c r="O680" s="2"/>
      <c r="P680" s="2"/>
      <c r="Q680" s="2"/>
      <c r="R680" s="2"/>
      <c r="S680" s="2"/>
      <c r="T680" s="2"/>
      <c r="U680" s="2"/>
      <c r="V680" s="2"/>
      <c r="W680" s="2"/>
      <c r="X680" s="2"/>
      <c r="Y680" s="2"/>
      <c r="Z680" s="2"/>
      <c r="AA680" s="2"/>
      <c r="AB680" s="2"/>
      <c r="AC680" s="2"/>
      <c r="AD680" s="2"/>
      <c r="AE680" s="2"/>
      <c r="AF680" s="2"/>
      <c r="AG680" s="2"/>
      <c r="AH680" s="2"/>
      <c r="AI680" s="2"/>
      <c r="AJ680" s="2"/>
      <c r="AK680" s="2"/>
    </row>
    <row r="681" spans="2:37" ht="6.75" customHeight="1">
      <c r="B681" s="2"/>
      <c r="C681" s="2"/>
      <c r="D681" s="159"/>
      <c r="E681" s="2"/>
      <c r="F681" s="159"/>
      <c r="G681" s="201"/>
      <c r="H681" s="2"/>
      <c r="I681" s="159"/>
      <c r="J681" s="201"/>
      <c r="K681" s="2"/>
      <c r="L681" s="2"/>
      <c r="M681" s="2"/>
      <c r="N681" s="2"/>
      <c r="O681" s="2"/>
      <c r="P681" s="2"/>
      <c r="Q681" s="2"/>
      <c r="R681" s="2"/>
      <c r="S681" s="2"/>
      <c r="T681" s="2"/>
      <c r="U681" s="2"/>
      <c r="V681" s="2"/>
      <c r="W681" s="2"/>
      <c r="X681" s="2"/>
      <c r="Y681" s="2"/>
      <c r="Z681" s="2"/>
      <c r="AA681" s="2"/>
      <c r="AB681" s="2"/>
      <c r="AC681" s="2"/>
      <c r="AD681" s="2"/>
      <c r="AE681" s="2"/>
      <c r="AF681" s="2"/>
      <c r="AG681" s="2"/>
      <c r="AH681" s="2"/>
      <c r="AI681" s="2"/>
      <c r="AJ681" s="2"/>
      <c r="AK681" s="2"/>
    </row>
    <row r="682" spans="2:37">
      <c r="B682" s="650"/>
      <c r="C682" s="650"/>
      <c r="D682" s="650"/>
      <c r="E682" s="650"/>
      <c r="F682" s="650"/>
      <c r="G682" s="650"/>
      <c r="H682" s="650"/>
      <c r="I682" s="650"/>
      <c r="J682" s="650"/>
      <c r="K682" s="650"/>
      <c r="L682" s="650"/>
      <c r="M682" s="2"/>
      <c r="N682" s="2"/>
      <c r="O682" s="2"/>
      <c r="P682" s="2"/>
      <c r="Q682" s="2"/>
      <c r="R682" s="2"/>
      <c r="S682" s="2"/>
      <c r="T682" s="2"/>
      <c r="U682" s="2"/>
      <c r="V682" s="2"/>
      <c r="W682" s="2"/>
      <c r="X682" s="2"/>
      <c r="Y682" s="2"/>
      <c r="Z682" s="2"/>
      <c r="AA682" s="2"/>
      <c r="AB682" s="2"/>
      <c r="AC682" s="2"/>
      <c r="AD682" s="2"/>
      <c r="AE682" s="2"/>
      <c r="AF682" s="2"/>
      <c r="AG682" s="2"/>
      <c r="AH682" s="2"/>
      <c r="AI682" s="2"/>
      <c r="AJ682" s="2"/>
      <c r="AK682" s="2"/>
    </row>
    <row r="683" spans="2:37">
      <c r="B683" s="650"/>
      <c r="C683" s="650"/>
      <c r="D683" s="650"/>
      <c r="E683" s="650"/>
      <c r="F683" s="650"/>
      <c r="G683" s="650"/>
      <c r="H683" s="650"/>
      <c r="I683" s="650"/>
      <c r="J683" s="650"/>
      <c r="K683" s="650"/>
      <c r="L683" s="650"/>
      <c r="M683" s="2"/>
      <c r="N683" s="2"/>
      <c r="S683" s="2"/>
      <c r="T683" s="2"/>
      <c r="U683" s="2"/>
      <c r="V683" s="2"/>
      <c r="W683" s="2"/>
      <c r="X683" s="2"/>
      <c r="Y683" s="2"/>
      <c r="Z683" s="2"/>
      <c r="AA683" s="2"/>
      <c r="AB683" s="2"/>
      <c r="AC683" s="2"/>
      <c r="AD683" s="2"/>
      <c r="AE683" s="2"/>
      <c r="AF683" s="2"/>
      <c r="AG683" s="2"/>
      <c r="AH683" s="2"/>
      <c r="AI683" s="2"/>
      <c r="AJ683" s="2"/>
      <c r="AK683" s="2"/>
    </row>
    <row r="684" spans="2:37">
      <c r="B684" s="650"/>
      <c r="C684" s="650"/>
      <c r="D684" s="650"/>
      <c r="E684" s="650"/>
      <c r="F684" s="650"/>
      <c r="G684" s="650"/>
      <c r="H684" s="650"/>
      <c r="I684" s="650"/>
      <c r="J684" s="650"/>
      <c r="K684" s="650"/>
      <c r="L684" s="650"/>
      <c r="M684" s="2"/>
      <c r="N684" s="2"/>
      <c r="O684" s="2"/>
      <c r="P684" s="2"/>
      <c r="Q684" s="2"/>
      <c r="R684" s="2"/>
      <c r="S684" s="2"/>
      <c r="T684" s="2"/>
      <c r="U684" s="2"/>
      <c r="V684" s="2"/>
      <c r="W684" s="2"/>
      <c r="X684" s="2"/>
      <c r="Y684" s="2"/>
      <c r="Z684" s="2"/>
      <c r="AA684" s="2"/>
      <c r="AB684" s="2"/>
      <c r="AC684" s="2"/>
      <c r="AD684" s="2"/>
      <c r="AE684" s="2"/>
      <c r="AF684" s="2"/>
      <c r="AG684" s="2"/>
      <c r="AH684" s="2"/>
      <c r="AI684" s="2"/>
      <c r="AJ684" s="2"/>
      <c r="AK684" s="2"/>
    </row>
    <row r="685" spans="2:37">
      <c r="B685" s="208"/>
      <c r="C685" s="2"/>
      <c r="D685" s="159"/>
      <c r="E685" s="2"/>
      <c r="F685" s="159"/>
      <c r="G685" s="201"/>
      <c r="H685" s="2"/>
      <c r="I685" s="159"/>
      <c r="J685" s="201"/>
      <c r="K685" s="2"/>
      <c r="L685" s="2"/>
      <c r="M685" s="2"/>
      <c r="N685" s="2"/>
      <c r="O685" s="2"/>
      <c r="P685" s="2"/>
      <c r="Q685" s="2"/>
      <c r="R685" s="2"/>
      <c r="S685" s="2"/>
      <c r="T685" s="2"/>
      <c r="U685" s="2"/>
      <c r="V685" s="2"/>
      <c r="W685" s="2"/>
      <c r="X685" s="2"/>
      <c r="Y685" s="2"/>
      <c r="Z685" s="2"/>
      <c r="AA685" s="2"/>
      <c r="AB685" s="2"/>
      <c r="AC685" s="2"/>
      <c r="AD685" s="2"/>
      <c r="AE685" s="2"/>
      <c r="AF685" s="2"/>
      <c r="AG685" s="2"/>
      <c r="AH685" s="2"/>
      <c r="AI685" s="2"/>
      <c r="AJ685" s="2"/>
      <c r="AK685" s="2"/>
    </row>
    <row r="686" spans="2:37">
      <c r="B686" s="2"/>
      <c r="C686" s="2"/>
      <c r="D686" s="159"/>
      <c r="E686" s="2"/>
      <c r="F686" s="159"/>
      <c r="G686" s="201"/>
      <c r="H686" s="2"/>
      <c r="I686" s="159"/>
      <c r="J686" s="201"/>
      <c r="K686" s="2"/>
      <c r="L686" s="2"/>
      <c r="M686" s="2"/>
      <c r="N686" s="2"/>
      <c r="O686" s="2"/>
      <c r="P686" s="2"/>
      <c r="Q686" s="2"/>
      <c r="R686" s="2"/>
      <c r="S686" s="2"/>
      <c r="T686" s="2"/>
      <c r="U686" s="2"/>
      <c r="V686" s="2"/>
      <c r="W686" s="2"/>
      <c r="X686" s="2"/>
      <c r="Y686" s="2"/>
      <c r="Z686" s="2"/>
      <c r="AA686" s="2"/>
      <c r="AB686" s="2"/>
      <c r="AC686" s="2"/>
      <c r="AD686" s="2"/>
      <c r="AE686" s="2"/>
      <c r="AF686" s="2"/>
      <c r="AG686" s="2"/>
      <c r="AH686" s="2"/>
      <c r="AI686" s="2"/>
      <c r="AJ686" s="2"/>
      <c r="AK686" s="2"/>
    </row>
    <row r="687" spans="2:37">
      <c r="B687" s="2"/>
      <c r="C687" s="2"/>
      <c r="D687" s="159"/>
      <c r="E687" s="2"/>
      <c r="F687" s="159"/>
      <c r="G687" s="201"/>
      <c r="H687" s="2"/>
      <c r="I687" s="159"/>
      <c r="J687" s="201"/>
      <c r="K687" s="2"/>
      <c r="L687" s="2"/>
      <c r="M687" s="2"/>
      <c r="N687" s="2"/>
      <c r="S687" s="2"/>
      <c r="T687" s="2"/>
      <c r="U687" s="2"/>
      <c r="V687" s="2"/>
      <c r="W687" s="2"/>
      <c r="X687" s="2"/>
      <c r="Y687" s="2"/>
      <c r="Z687" s="2"/>
      <c r="AA687" s="2"/>
      <c r="AB687" s="2"/>
      <c r="AC687" s="2"/>
      <c r="AD687" s="2"/>
      <c r="AE687" s="2"/>
      <c r="AF687" s="2"/>
      <c r="AG687" s="2"/>
      <c r="AH687" s="2"/>
      <c r="AI687" s="2"/>
      <c r="AJ687" s="2"/>
      <c r="AK687" s="2"/>
    </row>
    <row r="688" spans="2:37">
      <c r="B688" s="2"/>
      <c r="C688" s="2"/>
      <c r="D688" s="159"/>
      <c r="E688" s="2"/>
      <c r="F688" s="159"/>
      <c r="G688" s="201"/>
      <c r="H688" s="2"/>
      <c r="I688" s="159"/>
      <c r="J688" s="201"/>
      <c r="K688" s="2"/>
      <c r="L688" s="2"/>
      <c r="M688" s="2"/>
      <c r="N688" s="2"/>
      <c r="S688" s="2"/>
      <c r="T688" s="2"/>
      <c r="U688" s="2"/>
      <c r="V688" s="2"/>
      <c r="W688" s="2"/>
      <c r="X688" s="2"/>
      <c r="Y688" s="2"/>
      <c r="Z688" s="2"/>
      <c r="AA688" s="2"/>
      <c r="AB688" s="2"/>
      <c r="AC688" s="2"/>
      <c r="AD688" s="2"/>
      <c r="AE688" s="2"/>
      <c r="AF688" s="2"/>
      <c r="AG688" s="2"/>
      <c r="AH688" s="2"/>
      <c r="AI688" s="2"/>
      <c r="AJ688" s="2"/>
      <c r="AK688" s="2"/>
    </row>
    <row r="689" spans="2:37">
      <c r="B689" s="2"/>
      <c r="C689" s="2"/>
      <c r="D689" s="159"/>
      <c r="E689" s="2"/>
      <c r="F689" s="159"/>
      <c r="G689" s="201"/>
      <c r="H689" s="2"/>
      <c r="I689" s="159"/>
      <c r="J689" s="201"/>
      <c r="K689" s="2"/>
      <c r="L689" s="2"/>
      <c r="M689" s="2"/>
      <c r="N689" s="2"/>
      <c r="S689" s="2"/>
      <c r="T689" s="2"/>
      <c r="U689" s="2"/>
      <c r="V689" s="2"/>
      <c r="W689" s="2"/>
      <c r="X689" s="2"/>
      <c r="Y689" s="2"/>
      <c r="Z689" s="2"/>
      <c r="AA689" s="2"/>
      <c r="AB689" s="2"/>
      <c r="AC689" s="2"/>
      <c r="AD689" s="2"/>
      <c r="AE689" s="2"/>
      <c r="AF689" s="2"/>
      <c r="AG689" s="2"/>
      <c r="AH689" s="2"/>
      <c r="AI689" s="2"/>
      <c r="AJ689" s="2"/>
      <c r="AK689" s="2"/>
    </row>
    <row r="690" spans="2:37">
      <c r="B690" s="2"/>
      <c r="C690" s="2"/>
      <c r="D690" s="159"/>
      <c r="E690" s="2"/>
      <c r="F690" s="159"/>
      <c r="G690" s="201"/>
      <c r="H690" s="2"/>
      <c r="I690" s="159"/>
      <c r="J690" s="201"/>
      <c r="K690" s="2"/>
      <c r="L690" s="2"/>
      <c r="M690" s="2"/>
      <c r="N690" s="2"/>
      <c r="O690" s="2"/>
      <c r="P690" s="2"/>
      <c r="Q690" s="2"/>
      <c r="R690" s="2"/>
      <c r="S690" s="2"/>
      <c r="T690" s="2"/>
      <c r="U690" s="2"/>
      <c r="V690" s="2"/>
      <c r="W690" s="2"/>
      <c r="X690" s="2"/>
      <c r="Y690" s="2"/>
      <c r="Z690" s="2"/>
      <c r="AA690" s="2"/>
      <c r="AB690" s="2"/>
      <c r="AC690" s="2"/>
      <c r="AD690" s="2"/>
      <c r="AE690" s="2"/>
      <c r="AF690" s="2"/>
      <c r="AG690" s="2"/>
      <c r="AH690" s="2"/>
      <c r="AI690" s="2"/>
      <c r="AJ690" s="2"/>
      <c r="AK690" s="2"/>
    </row>
    <row r="691" spans="2:37">
      <c r="B691" s="2"/>
      <c r="C691" s="2"/>
      <c r="D691" s="159"/>
      <c r="E691" s="2"/>
      <c r="F691" s="159"/>
      <c r="G691" s="201"/>
      <c r="H691" s="2"/>
      <c r="I691" s="159"/>
      <c r="J691" s="201"/>
      <c r="K691" s="2"/>
      <c r="L691" s="2"/>
      <c r="M691" s="2"/>
      <c r="N691" s="2"/>
      <c r="O691" s="2"/>
      <c r="P691" s="2"/>
      <c r="Q691" s="2"/>
      <c r="R691" s="2"/>
      <c r="S691" s="2"/>
      <c r="T691" s="2"/>
      <c r="U691" s="2"/>
      <c r="V691" s="2"/>
      <c r="W691" s="2"/>
      <c r="X691" s="2"/>
      <c r="Y691" s="2"/>
      <c r="Z691" s="2"/>
      <c r="AA691" s="2"/>
      <c r="AB691" s="2"/>
      <c r="AC691" s="2"/>
      <c r="AD691" s="2"/>
      <c r="AE691" s="2"/>
      <c r="AF691" s="2"/>
      <c r="AG691" s="2"/>
      <c r="AH691" s="2"/>
      <c r="AI691" s="2"/>
      <c r="AJ691" s="2"/>
      <c r="AK691" s="2"/>
    </row>
    <row r="692" spans="2:37">
      <c r="B692" s="2"/>
      <c r="C692" s="2"/>
      <c r="D692" s="159"/>
      <c r="E692" s="2"/>
      <c r="F692" s="159"/>
      <c r="G692" s="201"/>
      <c r="H692" s="2"/>
      <c r="I692" s="159"/>
      <c r="J692" s="201"/>
      <c r="K692" s="2"/>
      <c r="L692" s="2"/>
      <c r="M692" s="2"/>
      <c r="N692" s="167"/>
      <c r="O692" s="2"/>
      <c r="P692" s="2"/>
      <c r="Q692" s="2"/>
      <c r="R692" s="2"/>
      <c r="S692" s="2"/>
      <c r="T692" s="2"/>
      <c r="U692" s="2"/>
      <c r="V692" s="2"/>
      <c r="W692" s="2"/>
      <c r="X692" s="2"/>
      <c r="Y692" s="2"/>
      <c r="Z692" s="2"/>
      <c r="AA692" s="2"/>
      <c r="AB692" s="2"/>
      <c r="AC692" s="2"/>
      <c r="AD692" s="2"/>
      <c r="AE692" s="2"/>
      <c r="AF692" s="2"/>
      <c r="AG692" s="2"/>
      <c r="AH692" s="2"/>
      <c r="AI692" s="2"/>
      <c r="AJ692" s="2"/>
      <c r="AK692" s="2"/>
    </row>
    <row r="693" spans="2:37">
      <c r="B693" s="2"/>
      <c r="C693" s="2"/>
      <c r="D693" s="159"/>
      <c r="E693" s="2"/>
      <c r="F693" s="159"/>
      <c r="G693" s="201"/>
      <c r="H693" s="2"/>
      <c r="I693" s="159"/>
      <c r="J693" s="201"/>
      <c r="K693" s="2"/>
      <c r="L693" s="2"/>
      <c r="M693" s="2"/>
      <c r="N693" s="2"/>
      <c r="O693" s="2"/>
      <c r="P693" s="140" t="str">
        <f>$B$638</f>
        <v>Central Services Expenditures (2500)</v>
      </c>
      <c r="Q693" s="2"/>
      <c r="R693" s="2"/>
      <c r="S693" s="2"/>
      <c r="T693" s="2"/>
      <c r="U693" s="2"/>
      <c r="V693" s="2"/>
      <c r="W693" s="2"/>
      <c r="X693" s="2"/>
      <c r="Y693" s="2"/>
      <c r="Z693" s="2"/>
      <c r="AA693" s="2"/>
      <c r="AB693" s="2"/>
      <c r="AC693" s="2"/>
      <c r="AD693" s="2"/>
      <c r="AE693" s="2"/>
      <c r="AF693" s="2"/>
      <c r="AG693" s="2"/>
      <c r="AH693" s="2"/>
      <c r="AI693" s="2"/>
      <c r="AJ693" s="2"/>
      <c r="AK693" s="2"/>
    </row>
    <row r="694" spans="2:37">
      <c r="B694" s="2"/>
      <c r="C694" s="2"/>
      <c r="D694" s="159"/>
      <c r="E694" s="2"/>
      <c r="F694" s="159"/>
      <c r="G694" s="201"/>
      <c r="H694" s="2"/>
      <c r="I694" s="159"/>
      <c r="J694" s="201"/>
      <c r="K694" s="2"/>
      <c r="L694" s="2"/>
      <c r="M694" s="2"/>
      <c r="N694" s="2"/>
      <c r="O694" s="2"/>
      <c r="P694" s="82" t="str">
        <f>D4</f>
        <v>2023-2024</v>
      </c>
      <c r="Q694" s="82" t="str">
        <f>F4</f>
        <v>2024-2025</v>
      </c>
      <c r="R694" s="82" t="str">
        <f>I4</f>
        <v>2025-2026</v>
      </c>
      <c r="S694" s="2"/>
      <c r="T694" s="2"/>
      <c r="U694" s="2"/>
      <c r="V694" s="2"/>
      <c r="W694" s="2"/>
      <c r="X694" s="2"/>
      <c r="Y694" s="2"/>
      <c r="Z694" s="2"/>
      <c r="AA694" s="2"/>
      <c r="AB694" s="2"/>
      <c r="AC694" s="2"/>
      <c r="AD694" s="2"/>
      <c r="AE694" s="2"/>
      <c r="AF694" s="2"/>
      <c r="AG694" s="2"/>
      <c r="AH694" s="2"/>
      <c r="AI694" s="2"/>
      <c r="AJ694" s="2"/>
      <c r="AK694" s="2"/>
    </row>
    <row r="695" spans="2:37">
      <c r="B695" s="2"/>
      <c r="C695" s="2"/>
      <c r="D695" s="159"/>
      <c r="E695" s="2"/>
      <c r="F695" s="159"/>
      <c r="G695" s="201"/>
      <c r="H695" s="2"/>
      <c r="I695" s="159"/>
      <c r="J695" s="201"/>
      <c r="K695" s="2"/>
      <c r="L695" s="2"/>
      <c r="M695" s="2"/>
      <c r="N695" s="2"/>
      <c r="O695" s="140" t="str">
        <f>$B638</f>
        <v>Central Services Expenditures (2500)</v>
      </c>
      <c r="P695" s="207">
        <f>IF(AND($D680&lt;=0,$F680&lt;=0,$J680&lt;=0),#N/A,IF($D680&lt;=0,0,$D680))</f>
        <v>0</v>
      </c>
      <c r="Q695" s="207">
        <f>IF(AND($D680&lt;=0,$F680&lt;=0,$J680&lt;=0),#N/A,IF($F680&lt;=0,0,$F680))</f>
        <v>54</v>
      </c>
      <c r="R695" s="207">
        <f>IF(AND($D680&lt;=0,$F680&lt;=0,$J680&lt;=0),#N/A,IF($J680&lt;=0,0,$J680))</f>
        <v>0</v>
      </c>
      <c r="S695" s="2"/>
      <c r="T695" s="2"/>
      <c r="U695" s="2"/>
      <c r="V695" s="2"/>
      <c r="W695" s="2"/>
      <c r="X695" s="2"/>
      <c r="Y695" s="2"/>
      <c r="Z695" s="2"/>
      <c r="AA695" s="2"/>
      <c r="AB695" s="2"/>
      <c r="AC695" s="2"/>
      <c r="AD695" s="2"/>
      <c r="AE695" s="2"/>
      <c r="AF695" s="2"/>
      <c r="AG695" s="2"/>
      <c r="AH695" s="2"/>
      <c r="AI695" s="2"/>
      <c r="AJ695" s="2"/>
      <c r="AK695" s="2"/>
    </row>
    <row r="696" spans="2:37">
      <c r="B696" s="2"/>
      <c r="C696" s="2"/>
      <c r="D696" s="159"/>
      <c r="E696" s="2"/>
      <c r="F696" s="159"/>
      <c r="G696" s="201"/>
      <c r="H696" s="2"/>
      <c r="I696" s="159"/>
      <c r="J696" s="201"/>
      <c r="K696" s="2"/>
      <c r="L696" s="2"/>
      <c r="M696" s="2"/>
      <c r="N696" s="2"/>
      <c r="O696" s="2"/>
      <c r="P696" s="2"/>
      <c r="Q696" s="2"/>
      <c r="R696" s="2"/>
      <c r="S696" s="2"/>
      <c r="T696" s="2"/>
      <c r="U696" s="2"/>
      <c r="V696" s="2"/>
      <c r="W696" s="2"/>
      <c r="X696" s="2"/>
      <c r="Y696" s="2"/>
      <c r="Z696" s="2"/>
      <c r="AA696" s="2"/>
      <c r="AB696" s="2"/>
      <c r="AC696" s="2"/>
      <c r="AD696" s="2"/>
      <c r="AE696" s="2"/>
      <c r="AF696" s="2"/>
      <c r="AG696" s="2"/>
      <c r="AH696" s="2"/>
      <c r="AI696" s="2"/>
      <c r="AJ696" s="2"/>
      <c r="AK696" s="2"/>
    </row>
    <row r="697" spans="2:37">
      <c r="B697" s="2"/>
      <c r="C697" s="2"/>
      <c r="D697" s="159"/>
      <c r="E697" s="2"/>
      <c r="F697" s="159"/>
      <c r="G697" s="201"/>
      <c r="H697" s="2"/>
      <c r="I697" s="159"/>
      <c r="J697" s="201"/>
      <c r="K697" s="2"/>
      <c r="L697" s="2"/>
      <c r="M697" s="2"/>
      <c r="N697" s="2"/>
      <c r="O697" s="2"/>
      <c r="P697" s="2"/>
      <c r="Q697" s="2"/>
      <c r="R697" s="2"/>
      <c r="S697" s="2"/>
      <c r="T697" s="2"/>
      <c r="U697" s="2"/>
      <c r="V697" s="2"/>
      <c r="W697" s="2"/>
      <c r="X697" s="2"/>
      <c r="Y697" s="2"/>
      <c r="Z697" s="2"/>
      <c r="AA697" s="2"/>
      <c r="AB697" s="2"/>
      <c r="AC697" s="2"/>
      <c r="AD697" s="2"/>
      <c r="AE697" s="2"/>
      <c r="AF697" s="2"/>
      <c r="AG697" s="2"/>
      <c r="AH697" s="2"/>
      <c r="AI697" s="2"/>
      <c r="AJ697" s="2"/>
      <c r="AK697" s="2"/>
    </row>
    <row r="698" spans="2:37">
      <c r="B698" s="2"/>
      <c r="C698" s="2"/>
      <c r="D698" s="159"/>
      <c r="E698" s="2"/>
      <c r="F698" s="159"/>
      <c r="G698" s="201"/>
      <c r="H698" s="2"/>
      <c r="I698" s="159"/>
      <c r="J698" s="201"/>
      <c r="K698" s="2"/>
      <c r="L698" s="2"/>
      <c r="M698" s="2"/>
      <c r="N698" s="2"/>
      <c r="O698" s="2"/>
      <c r="P698" s="2"/>
      <c r="Q698" s="2"/>
      <c r="R698" s="2"/>
      <c r="S698" s="2"/>
      <c r="T698" s="2"/>
      <c r="U698" s="2"/>
      <c r="V698" s="2"/>
      <c r="W698" s="2"/>
      <c r="X698" s="2"/>
      <c r="Y698" s="2"/>
      <c r="Z698" s="2"/>
      <c r="AA698" s="2"/>
      <c r="AB698" s="2"/>
      <c r="AC698" s="2"/>
      <c r="AD698" s="2"/>
      <c r="AE698" s="2"/>
      <c r="AF698" s="2"/>
      <c r="AG698" s="2"/>
      <c r="AH698" s="2"/>
      <c r="AI698" s="2"/>
      <c r="AJ698" s="2"/>
      <c r="AK698" s="2"/>
    </row>
    <row r="699" spans="2:37">
      <c r="B699" s="2"/>
      <c r="C699" s="2"/>
      <c r="D699" s="159"/>
      <c r="E699" s="2"/>
      <c r="F699" s="159"/>
      <c r="G699" s="201"/>
      <c r="H699" s="2"/>
      <c r="I699" s="159"/>
      <c r="J699" s="201"/>
      <c r="K699" s="2"/>
      <c r="L699" s="2"/>
      <c r="M699" s="2"/>
      <c r="N699" s="2"/>
      <c r="O699" s="2"/>
      <c r="P699" s="2"/>
      <c r="Q699" s="2"/>
      <c r="R699" s="2"/>
      <c r="S699" s="2"/>
      <c r="T699" s="2"/>
      <c r="U699" s="2"/>
      <c r="V699" s="2"/>
      <c r="W699" s="2"/>
      <c r="X699" s="2"/>
      <c r="Y699" s="2"/>
      <c r="Z699" s="2"/>
      <c r="AA699" s="2"/>
      <c r="AB699" s="2"/>
      <c r="AC699" s="2"/>
      <c r="AD699" s="2"/>
      <c r="AE699" s="2"/>
      <c r="AF699" s="2"/>
      <c r="AG699" s="2"/>
      <c r="AH699" s="2"/>
      <c r="AI699" s="2"/>
      <c r="AJ699" s="2"/>
      <c r="AK699" s="2"/>
    </row>
    <row r="700" spans="2:37">
      <c r="C700" s="2"/>
      <c r="D700" s="159"/>
      <c r="E700" s="2"/>
      <c r="F700" s="159"/>
      <c r="G700" s="201"/>
      <c r="H700" s="2"/>
      <c r="I700" s="159"/>
      <c r="J700" s="201"/>
      <c r="K700" s="2"/>
      <c r="L700" s="2"/>
      <c r="M700" s="2"/>
      <c r="N700" s="2"/>
      <c r="O700" s="2"/>
      <c r="P700" s="2"/>
      <c r="Q700" s="2"/>
      <c r="R700" s="2"/>
      <c r="S700" s="2"/>
      <c r="T700" s="2"/>
      <c r="U700" s="2"/>
      <c r="V700" s="2"/>
      <c r="W700" s="2"/>
      <c r="X700" s="2"/>
      <c r="Y700" s="2"/>
      <c r="Z700" s="2"/>
      <c r="AA700" s="2"/>
      <c r="AB700" s="2"/>
      <c r="AC700" s="2"/>
      <c r="AD700" s="2"/>
      <c r="AE700" s="2"/>
      <c r="AF700" s="2"/>
      <c r="AG700" s="2"/>
      <c r="AH700" s="2"/>
      <c r="AI700" s="2"/>
      <c r="AJ700" s="2"/>
      <c r="AK700" s="2"/>
    </row>
    <row r="701" spans="2:37">
      <c r="C701" s="2"/>
      <c r="D701" s="159"/>
      <c r="E701" s="2"/>
      <c r="F701" s="159"/>
      <c r="G701" s="201"/>
      <c r="H701" s="2"/>
      <c r="I701" s="159"/>
      <c r="J701" s="201"/>
      <c r="K701" s="2"/>
      <c r="L701" s="2"/>
      <c r="M701" s="2"/>
      <c r="N701" s="2"/>
      <c r="O701" s="2"/>
      <c r="P701" s="2"/>
      <c r="Q701" s="2"/>
      <c r="R701" s="2"/>
      <c r="S701" s="2"/>
      <c r="T701" s="2"/>
      <c r="U701" s="2"/>
      <c r="V701" s="2"/>
      <c r="W701" s="2"/>
      <c r="X701" s="2"/>
      <c r="Y701" s="2"/>
      <c r="Z701" s="2"/>
      <c r="AA701" s="2"/>
      <c r="AB701" s="2"/>
      <c r="AC701" s="2"/>
      <c r="AD701" s="2"/>
      <c r="AE701" s="2"/>
      <c r="AF701" s="2"/>
      <c r="AG701" s="2"/>
      <c r="AH701" s="2"/>
      <c r="AI701" s="2"/>
      <c r="AJ701" s="2"/>
      <c r="AK701" s="2"/>
    </row>
    <row r="702" spans="2:37" ht="18">
      <c r="B702" s="316" t="s">
        <v>77</v>
      </c>
      <c r="C702" s="143"/>
      <c r="D702" s="143"/>
      <c r="E702" s="143"/>
      <c r="F702" s="144"/>
      <c r="G702" s="144"/>
      <c r="H702" s="144"/>
      <c r="I702" s="143"/>
      <c r="J702" s="143"/>
      <c r="K702" s="143"/>
      <c r="L702" s="143"/>
      <c r="M702" s="2"/>
      <c r="N702" s="2"/>
      <c r="O702" s="2"/>
      <c r="P702" s="2"/>
      <c r="Q702" s="2"/>
      <c r="R702" s="2"/>
      <c r="S702" s="2"/>
      <c r="T702" s="2"/>
      <c r="U702" s="2"/>
      <c r="V702" s="2"/>
      <c r="W702" s="2"/>
      <c r="X702" s="2"/>
      <c r="Y702" s="2"/>
      <c r="Z702" s="2"/>
      <c r="AA702" s="2"/>
      <c r="AB702" s="2"/>
      <c r="AC702" s="2"/>
      <c r="AD702" s="2"/>
      <c r="AE702" s="2"/>
      <c r="AF702" s="2"/>
      <c r="AG702" s="2"/>
      <c r="AH702" s="2"/>
      <c r="AI702" s="2"/>
      <c r="AJ702" s="2"/>
      <c r="AK702" s="2"/>
    </row>
    <row r="703" spans="2:37">
      <c r="B703" s="2"/>
      <c r="C703" s="386" t="s">
        <v>1</v>
      </c>
      <c r="D703" s="379"/>
      <c r="E703" s="4"/>
      <c r="F703" s="379"/>
      <c r="G703" s="380"/>
      <c r="H703" s="4"/>
      <c r="I703" s="317"/>
      <c r="J703" s="380"/>
      <c r="K703" s="2"/>
      <c r="L703" s="2"/>
      <c r="M703" s="2"/>
      <c r="N703" s="2"/>
      <c r="O703" s="2"/>
      <c r="P703" s="2"/>
      <c r="Q703" s="2"/>
      <c r="R703" s="2"/>
      <c r="S703" s="2"/>
      <c r="T703" s="2"/>
      <c r="U703" s="2"/>
      <c r="V703" s="2"/>
      <c r="W703" s="2"/>
      <c r="X703" s="2"/>
      <c r="Y703" s="2"/>
      <c r="Z703" s="2"/>
      <c r="AA703" s="2"/>
      <c r="AB703" s="2"/>
      <c r="AC703" s="2"/>
      <c r="AD703" s="2"/>
      <c r="AE703" s="2"/>
      <c r="AF703" s="2"/>
      <c r="AG703" s="2"/>
      <c r="AH703" s="2"/>
      <c r="AI703" s="2"/>
      <c r="AJ703" s="2"/>
      <c r="AK703" s="2"/>
    </row>
    <row r="704" spans="2:37">
      <c r="B704" s="2"/>
      <c r="C704" s="145"/>
      <c r="D704" s="381" t="str">
        <f>D4</f>
        <v>2023-2024</v>
      </c>
      <c r="E704" s="43"/>
      <c r="F704" s="740" t="str">
        <f>F4</f>
        <v>2024-2025</v>
      </c>
      <c r="G704" s="741"/>
      <c r="H704" s="319" t="s">
        <v>2</v>
      </c>
      <c r="J704" s="740" t="str">
        <f>I4</f>
        <v>2025-2026</v>
      </c>
      <c r="K704" s="741"/>
      <c r="L704" s="387" t="s">
        <v>2</v>
      </c>
      <c r="M704" s="2"/>
      <c r="N704" s="2"/>
      <c r="O704" s="2"/>
      <c r="P704" s="2"/>
      <c r="Q704" s="2"/>
      <c r="R704" s="2"/>
      <c r="S704" s="2"/>
      <c r="T704" s="2"/>
      <c r="U704" s="2"/>
      <c r="V704" s="2"/>
      <c r="W704" s="2"/>
      <c r="X704" s="2"/>
      <c r="Y704" s="2"/>
      <c r="Z704" s="2"/>
      <c r="AA704" s="2"/>
      <c r="AB704" s="2"/>
      <c r="AC704" s="2"/>
      <c r="AD704" s="2"/>
      <c r="AE704" s="2"/>
      <c r="AF704" s="2"/>
      <c r="AG704" s="2"/>
      <c r="AH704" s="2"/>
      <c r="AI704" s="2"/>
      <c r="AJ704" s="2"/>
      <c r="AK704" s="2"/>
    </row>
    <row r="705" spans="2:37">
      <c r="B705" s="2"/>
      <c r="C705" s="220" t="s">
        <v>4</v>
      </c>
      <c r="D705" s="323" t="s">
        <v>5</v>
      </c>
      <c r="E705" s="43"/>
      <c r="F705" s="736" t="s">
        <v>5</v>
      </c>
      <c r="G705" s="737"/>
      <c r="H705" s="322" t="s">
        <v>144</v>
      </c>
      <c r="J705" s="736" t="s">
        <v>6</v>
      </c>
      <c r="K705" s="737"/>
      <c r="L705" s="388" t="s">
        <v>144</v>
      </c>
      <c r="M705" s="2"/>
      <c r="N705" s="2"/>
      <c r="O705" s="2"/>
      <c r="P705" s="2"/>
      <c r="Q705" s="2"/>
      <c r="R705" s="2"/>
      <c r="S705" s="2"/>
      <c r="T705" s="2"/>
      <c r="U705" s="2"/>
      <c r="V705" s="2"/>
      <c r="W705" s="2"/>
      <c r="X705" s="2"/>
      <c r="Y705" s="2"/>
      <c r="Z705" s="2"/>
      <c r="AA705" s="2"/>
      <c r="AB705" s="2"/>
      <c r="AC705" s="2"/>
      <c r="AD705" s="2"/>
      <c r="AE705" s="2"/>
      <c r="AF705" s="2"/>
      <c r="AG705" s="2"/>
      <c r="AH705" s="2"/>
      <c r="AI705" s="2"/>
      <c r="AJ705" s="2"/>
      <c r="AK705" s="2"/>
    </row>
    <row r="706" spans="2:37">
      <c r="B706" s="324" t="s">
        <v>34</v>
      </c>
      <c r="C706" s="325"/>
      <c r="D706" s="326">
        <f>SUM([1]C06!$C$150:$C$195)</f>
        <v>8552</v>
      </c>
      <c r="E706" s="327"/>
      <c r="F706" s="747">
        <f>SUM([1]C06!$D$150:$D$195)</f>
        <v>5731</v>
      </c>
      <c r="G706" s="732"/>
      <c r="H706" s="328">
        <f t="shared" ref="H706:H744" si="81">IF(D706=0,0,((F706-D706)/D706))</f>
        <v>-0.33</v>
      </c>
      <c r="J706" s="747">
        <f>SUM([1]C06!$E$150:$E$195)</f>
        <v>114100</v>
      </c>
      <c r="K706" s="732"/>
      <c r="L706" s="328">
        <f t="shared" ref="L706:L727" si="82">IF(F706=0,0,((J706-F706)/F706))</f>
        <v>18.91</v>
      </c>
      <c r="M706" s="2"/>
      <c r="N706" s="2"/>
      <c r="O706" s="2"/>
      <c r="P706" s="2"/>
      <c r="Q706" s="2"/>
      <c r="R706" s="2"/>
      <c r="S706" s="2"/>
      <c r="T706" s="2"/>
      <c r="U706" s="2"/>
      <c r="V706" s="2"/>
      <c r="W706" s="2"/>
      <c r="X706" s="2"/>
      <c r="Y706" s="2"/>
      <c r="Z706" s="2"/>
      <c r="AA706" s="2"/>
      <c r="AB706" s="2"/>
      <c r="AC706" s="2"/>
      <c r="AD706" s="2"/>
      <c r="AE706" s="2"/>
      <c r="AF706" s="2"/>
      <c r="AG706" s="2"/>
      <c r="AH706" s="2"/>
      <c r="AI706" s="2"/>
      <c r="AJ706" s="2"/>
      <c r="AK706" s="2"/>
    </row>
    <row r="707" spans="2:37">
      <c r="B707" s="44" t="s">
        <v>36</v>
      </c>
      <c r="C707" s="44"/>
      <c r="D707" s="329">
        <f>SUM([1]C07!$C$144:$C$169)</f>
        <v>1617</v>
      </c>
      <c r="E707" s="327"/>
      <c r="F707" s="671">
        <f>SUM([1]C07!$D$144:$D$169)</f>
        <v>10</v>
      </c>
      <c r="G707" s="653"/>
      <c r="H707" s="330">
        <f t="shared" si="81"/>
        <v>-0.99</v>
      </c>
      <c r="J707" s="671">
        <f>SUM([1]C07!$E$144:$E$169)</f>
        <v>0</v>
      </c>
      <c r="K707" s="653"/>
      <c r="L707" s="330">
        <f t="shared" si="82"/>
        <v>-1</v>
      </c>
      <c r="M707" s="2"/>
      <c r="N707" s="2"/>
      <c r="O707" s="2"/>
      <c r="P707" s="2"/>
      <c r="Q707" s="2"/>
      <c r="R707" s="2"/>
      <c r="S707" s="2"/>
      <c r="T707" s="2"/>
      <c r="U707" s="2"/>
      <c r="V707" s="2"/>
      <c r="W707" s="2"/>
      <c r="X707" s="2"/>
      <c r="Y707" s="2"/>
      <c r="Z707" s="2"/>
      <c r="AA707" s="2"/>
      <c r="AB707" s="2"/>
      <c r="AC707" s="2"/>
      <c r="AD707" s="2"/>
      <c r="AE707" s="2"/>
      <c r="AF707" s="2"/>
      <c r="AG707" s="2"/>
      <c r="AH707" s="2"/>
      <c r="AI707" s="2"/>
      <c r="AJ707" s="2"/>
      <c r="AK707" s="2"/>
    </row>
    <row r="708" spans="2:37">
      <c r="B708" s="324" t="s">
        <v>35</v>
      </c>
      <c r="C708" s="324"/>
      <c r="D708" s="331">
        <f>SUM([1]C08!$C$155:$C$200)</f>
        <v>241300</v>
      </c>
      <c r="E708" s="327"/>
      <c r="F708" s="656">
        <f>SUM([1]C08!$D$155:$D$200)</f>
        <v>193424</v>
      </c>
      <c r="G708" s="655"/>
      <c r="H708" s="332">
        <f t="shared" si="81"/>
        <v>-0.2</v>
      </c>
      <c r="J708" s="656">
        <f>SUM([1]C08!$E$155:$E$200)</f>
        <v>264342</v>
      </c>
      <c r="K708" s="655"/>
      <c r="L708" s="332">
        <f t="shared" si="82"/>
        <v>0.37</v>
      </c>
      <c r="M708" s="2"/>
      <c r="N708" s="2"/>
      <c r="O708" s="2"/>
      <c r="P708" s="2"/>
      <c r="Q708" s="2"/>
      <c r="R708" s="2"/>
      <c r="S708" s="2"/>
      <c r="T708" s="2"/>
      <c r="U708" s="2"/>
      <c r="V708" s="2"/>
      <c r="W708" s="2"/>
      <c r="X708" s="2"/>
      <c r="Y708" s="2"/>
      <c r="Z708" s="2"/>
      <c r="AA708" s="2"/>
      <c r="AB708" s="2"/>
      <c r="AC708" s="2"/>
      <c r="AD708" s="2"/>
      <c r="AE708" s="2"/>
      <c r="AF708" s="2"/>
      <c r="AG708" s="2"/>
      <c r="AH708" s="2"/>
      <c r="AI708" s="2"/>
      <c r="AJ708" s="2"/>
      <c r="AK708" s="2"/>
    </row>
    <row r="709" spans="2:37">
      <c r="B709" s="1" t="s">
        <v>140</v>
      </c>
      <c r="C709" s="333"/>
      <c r="D709" s="334">
        <f>SUM([1]C011!$C$125:$C$147)</f>
        <v>0</v>
      </c>
      <c r="E709" s="327"/>
      <c r="F709" s="671">
        <f>SUM([1]C011!$D$125:$D$147)</f>
        <v>0</v>
      </c>
      <c r="G709" s="653"/>
      <c r="H709" s="330">
        <f t="shared" si="81"/>
        <v>0</v>
      </c>
      <c r="J709" s="672">
        <f>SUM([1]C011!$E$125:$E$147)</f>
        <v>0</v>
      </c>
      <c r="K709" s="673"/>
      <c r="L709" s="330">
        <f t="shared" si="82"/>
        <v>0</v>
      </c>
      <c r="M709" s="2"/>
      <c r="N709" s="2"/>
      <c r="O709" s="2"/>
      <c r="P709" s="2"/>
      <c r="Q709" s="2"/>
      <c r="R709" s="2"/>
      <c r="S709" s="2"/>
      <c r="T709" s="2"/>
      <c r="U709" s="2"/>
      <c r="V709" s="2"/>
      <c r="W709" s="2"/>
      <c r="X709" s="2"/>
      <c r="Y709" s="2"/>
      <c r="Z709" s="2"/>
      <c r="AA709" s="2"/>
      <c r="AB709" s="2"/>
      <c r="AC709" s="2"/>
      <c r="AD709" s="2"/>
      <c r="AE709" s="2"/>
      <c r="AF709" s="2"/>
      <c r="AG709" s="2"/>
      <c r="AH709" s="2"/>
      <c r="AI709" s="2"/>
      <c r="AJ709" s="2"/>
      <c r="AK709" s="2"/>
    </row>
    <row r="710" spans="2:37">
      <c r="B710" s="324" t="s">
        <v>277</v>
      </c>
      <c r="C710" s="335"/>
      <c r="D710" s="331">
        <f>SUM([1]C013!$C$125:$C$147)</f>
        <v>0</v>
      </c>
      <c r="E710" s="327"/>
      <c r="F710" s="656">
        <f>SUM([1]C013!$D$125:$D$147)</f>
        <v>0</v>
      </c>
      <c r="G710" s="655"/>
      <c r="H710" s="332">
        <f t="shared" si="81"/>
        <v>0</v>
      </c>
      <c r="J710" s="674">
        <f>SUM([1]C013!$E$125:$E$147)</f>
        <v>0</v>
      </c>
      <c r="K710" s="675"/>
      <c r="L710" s="332">
        <f t="shared" si="82"/>
        <v>0</v>
      </c>
      <c r="M710" s="2"/>
      <c r="N710" s="2"/>
      <c r="O710" s="2"/>
      <c r="P710" s="2"/>
      <c r="Q710" s="2"/>
      <c r="R710" s="2"/>
      <c r="S710" s="2"/>
      <c r="T710" s="2"/>
      <c r="U710" s="2"/>
      <c r="V710" s="2"/>
      <c r="W710" s="2"/>
      <c r="X710" s="2"/>
      <c r="Y710" s="2"/>
      <c r="Z710" s="2"/>
      <c r="AA710" s="2"/>
      <c r="AB710" s="2"/>
      <c r="AC710" s="2"/>
      <c r="AD710" s="2"/>
      <c r="AE710" s="2"/>
      <c r="AF710" s="2"/>
      <c r="AG710" s="2"/>
      <c r="AH710" s="2"/>
      <c r="AI710" s="2"/>
      <c r="AJ710" s="2"/>
      <c r="AK710" s="2"/>
    </row>
    <row r="711" spans="2:37">
      <c r="B711" s="1" t="s">
        <v>39</v>
      </c>
      <c r="C711" s="1"/>
      <c r="D711" s="334">
        <f>SUM([1]C014!$C$121:$C$143)</f>
        <v>0</v>
      </c>
      <c r="E711" s="327"/>
      <c r="F711" s="671">
        <f>SUM([1]C014!$D$121:$D$143)</f>
        <v>0</v>
      </c>
      <c r="G711" s="653"/>
      <c r="H711" s="330">
        <f t="shared" si="81"/>
        <v>0</v>
      </c>
      <c r="J711" s="671">
        <f>SUM([1]C014!$E$121:$E$143)</f>
        <v>0</v>
      </c>
      <c r="K711" s="653"/>
      <c r="L711" s="330">
        <f t="shared" si="82"/>
        <v>0</v>
      </c>
      <c r="M711" s="2"/>
      <c r="N711" s="2"/>
      <c r="O711" s="2"/>
      <c r="P711" s="2"/>
      <c r="Q711" s="2"/>
      <c r="R711" s="2"/>
      <c r="S711" s="2"/>
      <c r="T711" s="2"/>
      <c r="U711" s="2"/>
      <c r="V711" s="2"/>
      <c r="W711" s="2"/>
      <c r="X711" s="2"/>
      <c r="Y711" s="2"/>
      <c r="Z711" s="2"/>
      <c r="AA711" s="2"/>
      <c r="AB711" s="2"/>
      <c r="AC711" s="2"/>
      <c r="AD711" s="2"/>
      <c r="AE711" s="2"/>
      <c r="AF711" s="2"/>
      <c r="AG711" s="2"/>
      <c r="AH711" s="2"/>
      <c r="AI711" s="2"/>
      <c r="AJ711" s="2"/>
      <c r="AK711" s="2"/>
    </row>
    <row r="712" spans="2:37">
      <c r="B712" s="324" t="s">
        <v>40</v>
      </c>
      <c r="C712" s="324"/>
      <c r="D712" s="331">
        <f>SUM([1]C015!$C$121:$C$143)</f>
        <v>0</v>
      </c>
      <c r="E712" s="327"/>
      <c r="F712" s="656">
        <f>SUM([1]C015!$D$121:$D$143)</f>
        <v>0</v>
      </c>
      <c r="G712" s="655"/>
      <c r="H712" s="332">
        <f t="shared" si="81"/>
        <v>0</v>
      </c>
      <c r="J712" s="656">
        <f>SUM([1]C015!$E$121:$E$143)</f>
        <v>0</v>
      </c>
      <c r="K712" s="655"/>
      <c r="L712" s="332">
        <f t="shared" si="82"/>
        <v>0</v>
      </c>
      <c r="M712" s="2"/>
      <c r="N712" s="2"/>
      <c r="O712" s="2"/>
      <c r="P712" s="2"/>
      <c r="Q712" s="2"/>
      <c r="R712" s="2"/>
      <c r="S712" s="2"/>
      <c r="T712" s="2"/>
      <c r="U712" s="2"/>
      <c r="V712" s="2"/>
      <c r="W712" s="2"/>
      <c r="X712" s="2"/>
      <c r="Y712" s="2"/>
      <c r="Z712" s="2"/>
      <c r="AA712" s="2"/>
      <c r="AB712" s="2"/>
      <c r="AC712" s="2"/>
      <c r="AD712" s="2"/>
      <c r="AE712" s="2"/>
      <c r="AF712" s="2"/>
      <c r="AG712" s="2"/>
      <c r="AH712" s="2"/>
      <c r="AI712" s="2"/>
      <c r="AJ712" s="2"/>
      <c r="AK712" s="2"/>
    </row>
    <row r="713" spans="2:37">
      <c r="B713" s="1" t="s">
        <v>41</v>
      </c>
      <c r="C713" s="1"/>
      <c r="D713" s="334">
        <f>SUM([1]C016!$C$87:$C$103)</f>
        <v>139387</v>
      </c>
      <c r="E713" s="327"/>
      <c r="F713" s="671">
        <f>SUM([1]C016!$D$87:$D$103)</f>
        <v>486097</v>
      </c>
      <c r="G713" s="653"/>
      <c r="H713" s="330">
        <f t="shared" si="81"/>
        <v>2.4900000000000002</v>
      </c>
      <c r="J713" s="671">
        <f>SUM([1]C016!$E$87:$E$103)</f>
        <v>161606</v>
      </c>
      <c r="K713" s="653"/>
      <c r="L713" s="330">
        <f t="shared" si="82"/>
        <v>-0.67</v>
      </c>
      <c r="M713" s="2"/>
      <c r="N713" s="2"/>
      <c r="O713" s="2"/>
      <c r="P713" s="2"/>
      <c r="Q713" s="2"/>
      <c r="R713" s="2"/>
      <c r="S713" s="2"/>
      <c r="T713" s="2"/>
      <c r="U713" s="2"/>
      <c r="V713" s="2"/>
      <c r="W713" s="2"/>
      <c r="X713" s="2"/>
      <c r="Y713" s="2"/>
      <c r="Z713" s="2"/>
      <c r="AA713" s="2"/>
      <c r="AB713" s="2"/>
      <c r="AC713" s="2"/>
      <c r="AD713" s="2"/>
      <c r="AE713" s="2"/>
      <c r="AF713" s="2"/>
      <c r="AG713" s="2"/>
      <c r="AH713" s="2"/>
      <c r="AI713" s="2"/>
      <c r="AJ713" s="2"/>
      <c r="AK713" s="2"/>
    </row>
    <row r="714" spans="2:37">
      <c r="B714" s="324" t="s">
        <v>70</v>
      </c>
      <c r="C714" s="324"/>
      <c r="D714" s="331">
        <f>SUM([1]C018!$C$121:$C$151)</f>
        <v>0</v>
      </c>
      <c r="E714" s="327"/>
      <c r="F714" s="656">
        <f>SUM([1]C018!$D$121:$D$151)</f>
        <v>0</v>
      </c>
      <c r="G714" s="655"/>
      <c r="H714" s="332">
        <f t="shared" si="81"/>
        <v>0</v>
      </c>
      <c r="J714" s="656">
        <f>SUM([1]C018!$E$121:$E$151)</f>
        <v>0</v>
      </c>
      <c r="K714" s="655"/>
      <c r="L714" s="332">
        <f t="shared" si="82"/>
        <v>0</v>
      </c>
      <c r="M714" s="2"/>
      <c r="N714" s="2"/>
      <c r="O714" s="2"/>
      <c r="P714" s="2"/>
      <c r="Q714" s="2"/>
      <c r="R714" s="2"/>
      <c r="S714" s="2"/>
      <c r="T714" s="2"/>
      <c r="U714" s="2"/>
      <c r="V714" s="2"/>
      <c r="W714" s="2"/>
      <c r="X714" s="2"/>
      <c r="Y714" s="2"/>
      <c r="Z714" s="2"/>
      <c r="AA714" s="2"/>
      <c r="AB714" s="2"/>
      <c r="AC714" s="2"/>
      <c r="AD714" s="2"/>
      <c r="AE714" s="2"/>
      <c r="AF714" s="2"/>
      <c r="AG714" s="2"/>
      <c r="AH714" s="2"/>
      <c r="AI714" s="2"/>
      <c r="AJ714" s="2"/>
      <c r="AK714" s="2"/>
    </row>
    <row r="715" spans="2:37">
      <c r="B715" s="1" t="s">
        <v>43</v>
      </c>
      <c r="C715" s="1"/>
      <c r="D715" s="336">
        <v>0</v>
      </c>
      <c r="E715" s="327"/>
      <c r="F715" s="652">
        <v>0</v>
      </c>
      <c r="G715" s="653"/>
      <c r="H715" s="330">
        <f t="shared" si="81"/>
        <v>0</v>
      </c>
      <c r="J715" s="652">
        <v>0</v>
      </c>
      <c r="K715" s="653"/>
      <c r="L715" s="330">
        <f t="shared" si="82"/>
        <v>0</v>
      </c>
      <c r="M715" s="2"/>
      <c r="N715" s="2"/>
      <c r="O715" s="2"/>
      <c r="P715" s="2"/>
      <c r="Q715" s="2"/>
      <c r="R715" s="2"/>
      <c r="S715" s="2"/>
      <c r="T715" s="2"/>
      <c r="U715" s="2"/>
      <c r="V715" s="2"/>
      <c r="W715" s="2"/>
      <c r="X715" s="2"/>
      <c r="Y715" s="2"/>
      <c r="Z715" s="2"/>
      <c r="AA715" s="2"/>
      <c r="AB715" s="2"/>
      <c r="AC715" s="2"/>
      <c r="AD715" s="2"/>
      <c r="AE715" s="2"/>
      <c r="AF715" s="2"/>
      <c r="AG715" s="2"/>
      <c r="AH715" s="2"/>
      <c r="AI715" s="2"/>
      <c r="AJ715" s="2"/>
      <c r="AK715" s="2"/>
    </row>
    <row r="716" spans="2:37">
      <c r="B716" s="324" t="s">
        <v>44</v>
      </c>
      <c r="C716" s="324"/>
      <c r="D716" s="331">
        <f>SUM([1]C022!$C$121:$C$143)</f>
        <v>0</v>
      </c>
      <c r="E716" s="327"/>
      <c r="F716" s="656">
        <f>SUM([1]C022!$D$121:$D$143)</f>
        <v>0</v>
      </c>
      <c r="G716" s="655"/>
      <c r="H716" s="332">
        <f t="shared" si="81"/>
        <v>0</v>
      </c>
      <c r="J716" s="656">
        <f>SUM([1]C022!$E$121:$E$143)</f>
        <v>0</v>
      </c>
      <c r="K716" s="655"/>
      <c r="L716" s="332">
        <f t="shared" si="82"/>
        <v>0</v>
      </c>
      <c r="M716" s="2"/>
      <c r="N716" s="2"/>
      <c r="O716" s="2"/>
      <c r="P716" s="2"/>
      <c r="Q716" s="2"/>
      <c r="R716" s="2"/>
      <c r="S716" s="2"/>
      <c r="T716" s="2"/>
      <c r="U716" s="2"/>
      <c r="V716" s="2"/>
      <c r="W716" s="2"/>
      <c r="X716" s="2"/>
      <c r="Y716" s="2"/>
      <c r="Z716" s="2"/>
      <c r="AA716" s="2"/>
      <c r="AB716" s="2"/>
      <c r="AC716" s="2"/>
      <c r="AD716" s="2"/>
      <c r="AE716" s="2"/>
      <c r="AF716" s="2"/>
      <c r="AG716" s="2"/>
      <c r="AH716" s="2"/>
      <c r="AI716" s="2"/>
      <c r="AJ716" s="2"/>
      <c r="AK716" s="2"/>
    </row>
    <row r="717" spans="2:37">
      <c r="B717" s="1" t="s">
        <v>45</v>
      </c>
      <c r="C717" s="337"/>
      <c r="D717" s="334">
        <f>SUM([1]C024!$C$48:$C$66)</f>
        <v>357</v>
      </c>
      <c r="E717" s="327"/>
      <c r="F717" s="671">
        <f>SUM([1]C024!$D$48:$D$66)</f>
        <v>841</v>
      </c>
      <c r="G717" s="653"/>
      <c r="H717" s="330">
        <f t="shared" si="81"/>
        <v>1.36</v>
      </c>
      <c r="J717" s="671">
        <f>SUM([1]C024!$E$48:$E$66)</f>
        <v>80128</v>
      </c>
      <c r="K717" s="653"/>
      <c r="L717" s="330">
        <f t="shared" si="82"/>
        <v>94.28</v>
      </c>
      <c r="M717" s="2"/>
      <c r="N717" s="2"/>
      <c r="O717" s="2"/>
      <c r="P717" s="2"/>
      <c r="Q717" s="2"/>
      <c r="R717" s="2"/>
      <c r="S717" s="2"/>
      <c r="T717" s="2"/>
      <c r="U717" s="2"/>
      <c r="V717" s="2"/>
      <c r="W717" s="2"/>
      <c r="X717" s="2"/>
      <c r="Y717" s="2"/>
      <c r="Z717" s="2"/>
      <c r="AA717" s="2"/>
      <c r="AB717" s="2"/>
      <c r="AC717" s="2"/>
      <c r="AD717" s="2"/>
      <c r="AE717" s="2"/>
      <c r="AF717" s="2"/>
      <c r="AG717" s="2"/>
      <c r="AH717" s="2"/>
      <c r="AI717" s="2"/>
      <c r="AJ717" s="2"/>
      <c r="AK717" s="2"/>
    </row>
    <row r="718" spans="2:37">
      <c r="B718" s="324" t="s">
        <v>46</v>
      </c>
      <c r="C718" s="338">
        <v>26</v>
      </c>
      <c r="D718" s="339">
        <v>0</v>
      </c>
      <c r="E718" s="327"/>
      <c r="F718" s="654">
        <v>0</v>
      </c>
      <c r="G718" s="655"/>
      <c r="H718" s="332">
        <f t="shared" si="81"/>
        <v>0</v>
      </c>
      <c r="J718" s="654">
        <v>0</v>
      </c>
      <c r="K718" s="655"/>
      <c r="L718" s="332">
        <f t="shared" si="82"/>
        <v>0</v>
      </c>
      <c r="M718" s="2"/>
      <c r="N718" s="2"/>
      <c r="O718" s="2"/>
      <c r="P718" s="2"/>
      <c r="Q718" s="2"/>
      <c r="R718" s="2"/>
      <c r="S718" s="2"/>
      <c r="T718" s="2"/>
      <c r="U718" s="2"/>
      <c r="V718" s="2"/>
      <c r="W718" s="2"/>
      <c r="X718" s="2"/>
      <c r="Y718" s="2"/>
      <c r="Z718" s="2"/>
      <c r="AA718" s="2"/>
      <c r="AB718" s="2"/>
      <c r="AC718" s="2"/>
      <c r="AD718" s="2"/>
      <c r="AE718" s="2"/>
      <c r="AF718" s="2"/>
      <c r="AG718" s="2"/>
      <c r="AH718" s="2"/>
      <c r="AI718" s="2"/>
      <c r="AJ718" s="2"/>
      <c r="AK718" s="2"/>
    </row>
    <row r="719" spans="2:37">
      <c r="B719" s="1" t="s">
        <v>47</v>
      </c>
      <c r="C719" s="337">
        <v>28</v>
      </c>
      <c r="D719" s="336">
        <v>0</v>
      </c>
      <c r="E719" s="327"/>
      <c r="F719" s="652">
        <v>0</v>
      </c>
      <c r="G719" s="653"/>
      <c r="H719" s="330">
        <f t="shared" si="81"/>
        <v>0</v>
      </c>
      <c r="J719" s="652">
        <v>0</v>
      </c>
      <c r="K719" s="653"/>
      <c r="L719" s="330">
        <f t="shared" si="82"/>
        <v>0</v>
      </c>
      <c r="M719" s="2"/>
      <c r="N719" s="2"/>
      <c r="O719" s="2"/>
      <c r="P719" s="2"/>
      <c r="Q719" s="2"/>
      <c r="R719" s="2"/>
      <c r="S719" s="2"/>
      <c r="T719" s="2"/>
      <c r="U719" s="2"/>
      <c r="V719" s="2"/>
      <c r="W719" s="2"/>
      <c r="X719" s="2"/>
      <c r="Y719" s="2"/>
      <c r="Z719" s="2"/>
      <c r="AA719" s="2"/>
      <c r="AB719" s="2"/>
      <c r="AC719" s="2"/>
      <c r="AD719" s="2"/>
      <c r="AE719" s="2"/>
      <c r="AF719" s="2"/>
      <c r="AG719" s="2"/>
      <c r="AH719" s="2"/>
      <c r="AI719" s="2"/>
      <c r="AJ719" s="2"/>
      <c r="AK719" s="2"/>
    </row>
    <row r="720" spans="2:37">
      <c r="B720" s="324" t="s">
        <v>48</v>
      </c>
      <c r="C720" s="338"/>
      <c r="D720" s="331">
        <f>SUM([1]C029!$C$114:$C$139)</f>
        <v>0</v>
      </c>
      <c r="E720" s="327"/>
      <c r="F720" s="656">
        <f>SUM([1]C029!$D$114:$D$139)</f>
        <v>0</v>
      </c>
      <c r="G720" s="655"/>
      <c r="H720" s="332">
        <f t="shared" si="81"/>
        <v>0</v>
      </c>
      <c r="J720" s="656">
        <f>SUM([1]C029!$E$114:$E$139)</f>
        <v>0</v>
      </c>
      <c r="K720" s="655"/>
      <c r="L720" s="332">
        <f t="shared" si="82"/>
        <v>0</v>
      </c>
      <c r="M720" s="2"/>
      <c r="N720" s="2"/>
      <c r="O720" s="2"/>
      <c r="P720" s="2"/>
      <c r="Q720" s="2"/>
      <c r="R720" s="2"/>
      <c r="S720" s="2"/>
      <c r="T720" s="2"/>
      <c r="U720" s="2"/>
      <c r="V720" s="2"/>
      <c r="W720" s="2"/>
      <c r="X720" s="2"/>
      <c r="Y720" s="2"/>
      <c r="Z720" s="2"/>
      <c r="AA720" s="2"/>
      <c r="AB720" s="2"/>
      <c r="AC720" s="2"/>
      <c r="AD720" s="2"/>
      <c r="AE720" s="2"/>
      <c r="AF720" s="2"/>
      <c r="AG720" s="2"/>
      <c r="AH720" s="2"/>
      <c r="AI720" s="2"/>
      <c r="AJ720" s="2"/>
      <c r="AK720" s="2"/>
    </row>
    <row r="721" spans="2:37">
      <c r="B721" s="1" t="s">
        <v>37</v>
      </c>
      <c r="C721" s="337"/>
      <c r="D721" s="334">
        <f>SUM([1]C030!$C$145:$C$167)</f>
        <v>0</v>
      </c>
      <c r="E721" s="327"/>
      <c r="F721" s="671">
        <f>SUM([1]C030!$D$145:$D$167)</f>
        <v>0</v>
      </c>
      <c r="G721" s="653"/>
      <c r="H721" s="330">
        <f t="shared" si="81"/>
        <v>0</v>
      </c>
      <c r="J721" s="671">
        <f>SUM([1]C030!$E$145:$E$167)</f>
        <v>0</v>
      </c>
      <c r="K721" s="653"/>
      <c r="L721" s="330">
        <f t="shared" si="82"/>
        <v>0</v>
      </c>
      <c r="M721" s="2"/>
      <c r="N721" s="2"/>
      <c r="O721" s="2"/>
      <c r="P721" s="2"/>
      <c r="Q721" s="2"/>
      <c r="R721" s="2"/>
      <c r="S721" s="2"/>
      <c r="T721" s="2"/>
      <c r="U721" s="2"/>
      <c r="V721" s="2"/>
      <c r="W721" s="2"/>
      <c r="X721" s="2"/>
      <c r="Y721" s="2"/>
      <c r="Z721" s="2"/>
      <c r="AA721" s="2"/>
      <c r="AB721" s="2"/>
      <c r="AC721" s="2"/>
      <c r="AD721" s="2"/>
      <c r="AE721" s="2"/>
      <c r="AF721" s="2"/>
      <c r="AG721" s="2"/>
      <c r="AH721" s="2"/>
      <c r="AI721" s="2"/>
      <c r="AJ721" s="2"/>
      <c r="AK721" s="2"/>
    </row>
    <row r="722" spans="2:37">
      <c r="B722" s="324" t="s">
        <v>49</v>
      </c>
      <c r="C722" s="338"/>
      <c r="D722" s="339">
        <v>0</v>
      </c>
      <c r="E722" s="327"/>
      <c r="F722" s="654">
        <v>0</v>
      </c>
      <c r="G722" s="655"/>
      <c r="H722" s="332">
        <f t="shared" si="81"/>
        <v>0</v>
      </c>
      <c r="J722" s="654">
        <v>0</v>
      </c>
      <c r="K722" s="655"/>
      <c r="L722" s="332">
        <f t="shared" si="82"/>
        <v>0</v>
      </c>
      <c r="M722" s="2"/>
      <c r="N722" s="2"/>
      <c r="O722" s="2"/>
      <c r="P722" s="2"/>
      <c r="Q722" s="2"/>
      <c r="R722" s="2"/>
      <c r="S722" s="2"/>
      <c r="T722" s="2"/>
      <c r="U722" s="2"/>
      <c r="V722" s="2"/>
      <c r="W722" s="2"/>
      <c r="X722" s="2"/>
      <c r="Y722" s="2"/>
      <c r="Z722" s="2"/>
      <c r="AA722" s="2"/>
      <c r="AB722" s="2"/>
      <c r="AC722" s="2"/>
      <c r="AD722" s="2"/>
      <c r="AE722" s="2"/>
      <c r="AF722" s="2"/>
      <c r="AG722" s="2"/>
      <c r="AH722" s="2"/>
      <c r="AI722" s="2"/>
      <c r="AJ722" s="2"/>
      <c r="AK722" s="2"/>
    </row>
    <row r="723" spans="2:37">
      <c r="B723" s="370" t="str">
        <f>B338</f>
        <v>Career and Postsecondary Ed.</v>
      </c>
      <c r="C723" s="337"/>
      <c r="D723" s="334">
        <f>SUM([1]C034!$C$132:$C$154)</f>
        <v>0</v>
      </c>
      <c r="E723" s="327"/>
      <c r="F723" s="671">
        <f>SUM([1]C034!$D$132:$D$154)</f>
        <v>0</v>
      </c>
      <c r="G723" s="653"/>
      <c r="H723" s="330">
        <f t="shared" si="81"/>
        <v>0</v>
      </c>
      <c r="J723" s="671">
        <f>SUM([1]C034!$E$132:$E$154)</f>
        <v>0</v>
      </c>
      <c r="K723" s="653"/>
      <c r="L723" s="330">
        <f t="shared" si="82"/>
        <v>0</v>
      </c>
      <c r="M723" s="2"/>
      <c r="N723" s="2"/>
      <c r="O723" s="2"/>
      <c r="P723" s="2"/>
      <c r="Q723" s="2"/>
      <c r="R723" s="2"/>
      <c r="S723" s="2"/>
      <c r="T723" s="2"/>
      <c r="U723" s="2"/>
      <c r="V723" s="2"/>
      <c r="W723" s="2"/>
      <c r="X723" s="2"/>
      <c r="Y723" s="2"/>
      <c r="Z723" s="2"/>
      <c r="AA723" s="2"/>
      <c r="AB723" s="2"/>
      <c r="AC723" s="2"/>
      <c r="AD723" s="2"/>
      <c r="AE723" s="2"/>
      <c r="AF723" s="2"/>
      <c r="AG723" s="2"/>
      <c r="AH723" s="2"/>
      <c r="AI723" s="2"/>
      <c r="AJ723" s="2"/>
      <c r="AK723" s="2"/>
    </row>
    <row r="724" spans="2:37" ht="15.75">
      <c r="B724" s="324" t="s">
        <v>178</v>
      </c>
      <c r="C724" s="338"/>
      <c r="D724" s="331">
        <f>SUM([1]C035!$C$155:$C$180)</f>
        <v>0</v>
      </c>
      <c r="E724" s="327"/>
      <c r="F724" s="656">
        <f>SUM([1]C035!$D$155:$D$180)</f>
        <v>1766</v>
      </c>
      <c r="G724" s="655"/>
      <c r="H724" s="332">
        <f t="shared" si="81"/>
        <v>0</v>
      </c>
      <c r="J724" s="656">
        <f>SUM([1]C035!$E$155:$E$180)</f>
        <v>0</v>
      </c>
      <c r="K724" s="655"/>
      <c r="L724" s="332">
        <f t="shared" si="82"/>
        <v>-1</v>
      </c>
      <c r="M724" s="2"/>
      <c r="N724" s="2"/>
      <c r="O724" s="2"/>
      <c r="P724" s="2"/>
      <c r="Q724" s="2"/>
      <c r="R724" s="2"/>
      <c r="S724" s="2"/>
      <c r="T724" s="2"/>
      <c r="U724" s="2"/>
      <c r="V724" s="2"/>
      <c r="W724" s="2"/>
      <c r="X724" s="2"/>
      <c r="Y724" s="2"/>
      <c r="Z724" s="2"/>
      <c r="AA724" s="2"/>
      <c r="AB724" s="2"/>
      <c r="AC724" s="2"/>
      <c r="AD724" s="2"/>
      <c r="AE724" s="2"/>
      <c r="AF724" s="2"/>
      <c r="AG724" s="2"/>
      <c r="AH724" s="2"/>
      <c r="AI724" s="2"/>
      <c r="AJ724" s="2"/>
      <c r="AK724" s="2"/>
    </row>
    <row r="725" spans="2:37">
      <c r="B725" s="1" t="s">
        <v>71</v>
      </c>
      <c r="C725" s="337">
        <v>42</v>
      </c>
      <c r="D725" s="336">
        <v>0</v>
      </c>
      <c r="E725" s="327"/>
      <c r="F725" s="652">
        <v>0</v>
      </c>
      <c r="G725" s="653"/>
      <c r="H725" s="330">
        <f t="shared" si="81"/>
        <v>0</v>
      </c>
      <c r="J725" s="652">
        <v>0</v>
      </c>
      <c r="K725" s="653"/>
      <c r="L725" s="330">
        <f t="shared" si="82"/>
        <v>0</v>
      </c>
      <c r="M725" s="2"/>
      <c r="N725" s="2"/>
      <c r="O725" s="2"/>
      <c r="P725" s="2"/>
      <c r="Q725" s="2"/>
      <c r="R725" s="2"/>
      <c r="S725" s="2"/>
      <c r="T725" s="2"/>
      <c r="U725" s="2"/>
      <c r="V725" s="2"/>
      <c r="W725" s="2"/>
      <c r="X725" s="2"/>
      <c r="Y725" s="2"/>
      <c r="Z725" s="2"/>
      <c r="AA725" s="2"/>
      <c r="AB725" s="2"/>
      <c r="AC725" s="2"/>
      <c r="AD725" s="2"/>
      <c r="AE725" s="2"/>
      <c r="AF725" s="2"/>
      <c r="AG725" s="2"/>
      <c r="AH725" s="2"/>
      <c r="AI725" s="2"/>
      <c r="AJ725" s="2"/>
      <c r="AK725" s="2"/>
    </row>
    <row r="726" spans="2:37">
      <c r="B726" s="324" t="s">
        <v>51</v>
      </c>
      <c r="C726" s="338">
        <v>44</v>
      </c>
      <c r="D726" s="339">
        <v>0</v>
      </c>
      <c r="E726" s="327"/>
      <c r="F726" s="654">
        <v>0</v>
      </c>
      <c r="G726" s="655"/>
      <c r="H726" s="332">
        <f t="shared" si="81"/>
        <v>0</v>
      </c>
      <c r="J726" s="654">
        <v>0</v>
      </c>
      <c r="K726" s="655"/>
      <c r="L726" s="332">
        <f t="shared" si="82"/>
        <v>0</v>
      </c>
      <c r="M726" s="2"/>
      <c r="N726" s="2"/>
      <c r="O726" s="2"/>
      <c r="P726" s="2"/>
      <c r="Q726" s="2"/>
      <c r="R726" s="2"/>
      <c r="S726" s="2"/>
      <c r="T726" s="2"/>
      <c r="U726" s="2"/>
      <c r="V726" s="2"/>
      <c r="W726" s="2"/>
      <c r="X726" s="2"/>
      <c r="Y726" s="2"/>
      <c r="Z726" s="2"/>
      <c r="AA726" s="2"/>
      <c r="AB726" s="2"/>
      <c r="AC726" s="2"/>
      <c r="AD726" s="2"/>
      <c r="AE726" s="2"/>
      <c r="AF726" s="2"/>
      <c r="AG726" s="2"/>
      <c r="AH726" s="2"/>
      <c r="AI726" s="2"/>
      <c r="AJ726" s="2"/>
      <c r="AK726" s="2"/>
    </row>
    <row r="727" spans="2:37">
      <c r="B727" s="45" t="s">
        <v>52</v>
      </c>
      <c r="C727" s="340">
        <v>45</v>
      </c>
      <c r="D727" s="341">
        <v>0</v>
      </c>
      <c r="E727" s="327"/>
      <c r="F727" s="652">
        <v>0</v>
      </c>
      <c r="G727" s="653"/>
      <c r="H727" s="330">
        <f t="shared" si="81"/>
        <v>0</v>
      </c>
      <c r="J727" s="652">
        <v>0</v>
      </c>
      <c r="K727" s="653"/>
      <c r="L727" s="330">
        <f t="shared" si="82"/>
        <v>0</v>
      </c>
      <c r="M727" s="2"/>
      <c r="N727" s="2"/>
      <c r="O727" s="2"/>
      <c r="P727" s="2"/>
      <c r="Q727" s="2"/>
      <c r="R727" s="2"/>
      <c r="S727" s="2"/>
      <c r="T727" s="2"/>
      <c r="U727" s="2"/>
      <c r="V727" s="2"/>
      <c r="W727" s="2"/>
      <c r="X727" s="2"/>
      <c r="Y727" s="2"/>
      <c r="Z727" s="2"/>
      <c r="AA727" s="2"/>
      <c r="AB727" s="2"/>
      <c r="AC727" s="2"/>
      <c r="AD727" s="2"/>
      <c r="AE727" s="2"/>
      <c r="AF727" s="2"/>
      <c r="AG727" s="2"/>
      <c r="AH727" s="2"/>
      <c r="AI727" s="2"/>
      <c r="AJ727" s="2"/>
      <c r="AK727" s="2"/>
    </row>
    <row r="728" spans="2:37">
      <c r="B728" s="342" t="s">
        <v>72</v>
      </c>
      <c r="C728" s="343">
        <v>46</v>
      </c>
      <c r="D728" s="344">
        <v>0</v>
      </c>
      <c r="E728" s="327"/>
      <c r="F728" s="654">
        <v>0</v>
      </c>
      <c r="G728" s="655"/>
      <c r="H728" s="332">
        <f t="shared" si="81"/>
        <v>0</v>
      </c>
      <c r="J728" s="676"/>
      <c r="K728" s="677"/>
      <c r="L728" s="345"/>
      <c r="M728" s="2"/>
      <c r="N728" s="2"/>
      <c r="O728" s="2"/>
      <c r="P728" s="2"/>
      <c r="Q728" s="2"/>
      <c r="R728" s="2"/>
      <c r="S728" s="2"/>
      <c r="T728" s="2"/>
      <c r="U728" s="2"/>
      <c r="V728" s="2"/>
      <c r="W728" s="2"/>
      <c r="X728" s="2"/>
      <c r="Y728" s="2"/>
      <c r="Z728" s="2"/>
      <c r="AA728" s="2"/>
      <c r="AB728" s="2"/>
      <c r="AC728" s="2"/>
      <c r="AD728" s="2"/>
      <c r="AE728" s="2"/>
      <c r="AF728" s="2"/>
      <c r="AG728" s="2"/>
      <c r="AH728" s="2"/>
      <c r="AI728" s="2"/>
      <c r="AJ728" s="2"/>
      <c r="AK728" s="2"/>
    </row>
    <row r="729" spans="2:37">
      <c r="B729" s="45" t="s">
        <v>54</v>
      </c>
      <c r="C729" s="340"/>
      <c r="D729" s="329">
        <f>[1]C051!$C$31</f>
        <v>6262</v>
      </c>
      <c r="E729" s="327"/>
      <c r="F729" s="671">
        <f>[1]C051!$D$31</f>
        <v>5696</v>
      </c>
      <c r="G729" s="653"/>
      <c r="H729" s="330">
        <f t="shared" si="81"/>
        <v>-0.09</v>
      </c>
      <c r="J729" s="671">
        <f>[1]C051!$E$31</f>
        <v>4500</v>
      </c>
      <c r="K729" s="653"/>
      <c r="L729" s="330">
        <f>IF(F729=0,0,((J729-F729)/F729))</f>
        <v>-0.21</v>
      </c>
      <c r="M729" s="2"/>
      <c r="N729" s="2"/>
      <c r="O729" s="2"/>
      <c r="P729" s="2"/>
      <c r="Q729" s="2"/>
      <c r="R729" s="2"/>
      <c r="S729" s="2"/>
      <c r="T729" s="2"/>
      <c r="U729" s="2"/>
      <c r="V729" s="2"/>
      <c r="W729" s="2"/>
      <c r="X729" s="2"/>
      <c r="Y729" s="2"/>
      <c r="Z729" s="2"/>
      <c r="AA729" s="2"/>
      <c r="AB729" s="2"/>
      <c r="AC729" s="2"/>
      <c r="AD729" s="2"/>
      <c r="AE729" s="2"/>
      <c r="AF729" s="2"/>
      <c r="AG729" s="2"/>
      <c r="AH729" s="2"/>
      <c r="AI729" s="2"/>
      <c r="AJ729" s="2"/>
      <c r="AK729" s="2"/>
    </row>
    <row r="730" spans="2:37">
      <c r="B730" s="342" t="s">
        <v>55</v>
      </c>
      <c r="C730" s="343"/>
      <c r="D730" s="346">
        <f>SUM([1]C053!$C$134:$C$159)</f>
        <v>0</v>
      </c>
      <c r="E730" s="327"/>
      <c r="F730" s="656">
        <f>SUM([1]C053!$D$134:$D$159)</f>
        <v>0</v>
      </c>
      <c r="G730" s="655"/>
      <c r="H730" s="332">
        <f t="shared" si="81"/>
        <v>0</v>
      </c>
      <c r="J730" s="678"/>
      <c r="K730" s="679"/>
      <c r="L730" s="347"/>
      <c r="M730" s="2"/>
      <c r="N730" s="2"/>
      <c r="O730" s="2"/>
      <c r="P730" s="2"/>
      <c r="Q730" s="2"/>
      <c r="R730" s="2"/>
      <c r="S730" s="2"/>
      <c r="T730" s="2"/>
      <c r="U730" s="2"/>
      <c r="V730" s="2"/>
      <c r="W730" s="2"/>
      <c r="X730" s="2"/>
      <c r="Y730" s="2"/>
      <c r="Z730" s="2"/>
      <c r="AA730" s="2"/>
      <c r="AB730" s="2"/>
      <c r="AC730" s="2"/>
      <c r="AD730" s="2"/>
      <c r="AE730" s="2"/>
      <c r="AF730" s="2"/>
      <c r="AG730" s="2"/>
      <c r="AH730" s="2"/>
      <c r="AI730" s="2"/>
      <c r="AJ730" s="2"/>
      <c r="AK730" s="2"/>
    </row>
    <row r="731" spans="2:37">
      <c r="B731" s="45" t="s">
        <v>78</v>
      </c>
      <c r="C731" s="340">
        <v>54</v>
      </c>
      <c r="D731" s="341">
        <v>0</v>
      </c>
      <c r="E731" s="327"/>
      <c r="F731" s="652">
        <v>0</v>
      </c>
      <c r="G731" s="653"/>
      <c r="H731" s="330">
        <f t="shared" si="81"/>
        <v>0</v>
      </c>
      <c r="J731" s="680"/>
      <c r="K731" s="681"/>
      <c r="L731" s="348"/>
      <c r="M731" s="2"/>
      <c r="N731" s="2"/>
      <c r="O731" s="2"/>
      <c r="P731" s="2"/>
      <c r="Q731" s="2"/>
      <c r="R731" s="2"/>
      <c r="S731" s="2"/>
      <c r="T731" s="2"/>
      <c r="U731" s="2"/>
      <c r="V731" s="2"/>
      <c r="W731" s="2"/>
      <c r="X731" s="2"/>
      <c r="Y731" s="2"/>
      <c r="Z731" s="2"/>
      <c r="AA731" s="2"/>
      <c r="AB731" s="2"/>
      <c r="AC731" s="2"/>
      <c r="AD731" s="2"/>
      <c r="AE731" s="2"/>
      <c r="AF731" s="2"/>
      <c r="AG731" s="2"/>
      <c r="AH731" s="2"/>
      <c r="AI731" s="2"/>
      <c r="AJ731" s="2"/>
      <c r="AK731" s="2"/>
    </row>
    <row r="732" spans="2:37">
      <c r="B732" s="342" t="s">
        <v>57</v>
      </c>
      <c r="C732" s="343"/>
      <c r="D732" s="344">
        <v>0</v>
      </c>
      <c r="E732" s="327"/>
      <c r="F732" s="654">
        <v>0</v>
      </c>
      <c r="G732" s="655"/>
      <c r="H732" s="332">
        <f t="shared" si="81"/>
        <v>0</v>
      </c>
      <c r="J732" s="682"/>
      <c r="K732" s="683"/>
      <c r="L732" s="349"/>
      <c r="M732" s="2"/>
      <c r="N732" s="2"/>
      <c r="O732" s="2"/>
      <c r="P732" s="2"/>
      <c r="Q732" s="2"/>
      <c r="R732" s="2"/>
      <c r="S732" s="2"/>
      <c r="T732" s="2"/>
      <c r="U732" s="2"/>
      <c r="V732" s="2"/>
      <c r="W732" s="2"/>
      <c r="X732" s="2"/>
      <c r="Y732" s="2"/>
      <c r="Z732" s="2"/>
      <c r="AA732" s="2"/>
      <c r="AB732" s="2"/>
      <c r="AC732" s="2"/>
      <c r="AD732" s="2"/>
      <c r="AE732" s="2"/>
      <c r="AF732" s="2"/>
      <c r="AG732" s="2"/>
      <c r="AH732" s="2"/>
      <c r="AI732" s="2"/>
      <c r="AJ732" s="2"/>
      <c r="AK732" s="2"/>
    </row>
    <row r="733" spans="2:37">
      <c r="B733" s="350" t="str">
        <f>B1118</f>
        <v>Bond and Interest #1</v>
      </c>
      <c r="C733" s="340">
        <v>62</v>
      </c>
      <c r="D733" s="341">
        <v>0</v>
      </c>
      <c r="E733" s="327"/>
      <c r="F733" s="652">
        <v>0</v>
      </c>
      <c r="G733" s="653"/>
      <c r="H733" s="330">
        <f t="shared" si="81"/>
        <v>0</v>
      </c>
      <c r="J733" s="652">
        <v>0</v>
      </c>
      <c r="K733" s="653"/>
      <c r="L733" s="330">
        <f t="shared" ref="L733:L744" si="83">IF(F733=0,0,((J733-F733)/F733))</f>
        <v>0</v>
      </c>
      <c r="M733" s="2"/>
      <c r="N733" s="2"/>
      <c r="O733" s="2"/>
      <c r="P733" s="2"/>
      <c r="Q733" s="2"/>
      <c r="R733" s="2"/>
      <c r="S733" s="2"/>
      <c r="T733" s="2"/>
      <c r="U733" s="2"/>
      <c r="V733" s="2"/>
      <c r="W733" s="2"/>
      <c r="X733" s="2"/>
      <c r="Y733" s="2"/>
      <c r="Z733" s="2"/>
      <c r="AA733" s="2"/>
      <c r="AB733" s="2"/>
      <c r="AC733" s="2"/>
      <c r="AD733" s="2"/>
      <c r="AE733" s="2"/>
      <c r="AF733" s="2"/>
      <c r="AG733" s="2"/>
      <c r="AH733" s="2"/>
      <c r="AI733" s="2"/>
      <c r="AJ733" s="2"/>
      <c r="AK733" s="2"/>
    </row>
    <row r="734" spans="2:37">
      <c r="B734" s="351" t="str">
        <f>B1119</f>
        <v>Bond and Interest #2</v>
      </c>
      <c r="C734" s="343">
        <v>63</v>
      </c>
      <c r="D734" s="344">
        <v>0</v>
      </c>
      <c r="E734" s="327"/>
      <c r="F734" s="654">
        <v>0</v>
      </c>
      <c r="G734" s="655"/>
      <c r="H734" s="332">
        <f t="shared" si="81"/>
        <v>0</v>
      </c>
      <c r="J734" s="654">
        <v>0</v>
      </c>
      <c r="K734" s="655"/>
      <c r="L734" s="332">
        <f t="shared" si="83"/>
        <v>0</v>
      </c>
      <c r="M734" s="2"/>
      <c r="N734" s="2"/>
      <c r="O734" s="2"/>
      <c r="P734" s="2"/>
      <c r="Q734" s="2"/>
      <c r="R734" s="2"/>
      <c r="S734" s="2"/>
      <c r="T734" s="2"/>
      <c r="U734" s="2"/>
      <c r="V734" s="2"/>
      <c r="W734" s="2"/>
      <c r="X734" s="2"/>
      <c r="Y734" s="2"/>
      <c r="Z734" s="2"/>
      <c r="AA734" s="2"/>
      <c r="AB734" s="2"/>
      <c r="AC734" s="2"/>
      <c r="AD734" s="2"/>
      <c r="AE734" s="2"/>
      <c r="AF734" s="2"/>
      <c r="AG734" s="2"/>
      <c r="AH734" s="2"/>
      <c r="AI734" s="2"/>
      <c r="AJ734" s="2"/>
      <c r="AK734" s="2"/>
    </row>
    <row r="735" spans="2:37">
      <c r="B735" s="45" t="s">
        <v>58</v>
      </c>
      <c r="C735" s="340">
        <v>66</v>
      </c>
      <c r="D735" s="341">
        <v>0</v>
      </c>
      <c r="E735" s="327"/>
      <c r="F735" s="652">
        <v>0</v>
      </c>
      <c r="G735" s="653"/>
      <c r="H735" s="330">
        <f t="shared" si="81"/>
        <v>0</v>
      </c>
      <c r="J735" s="652">
        <v>0</v>
      </c>
      <c r="K735" s="653"/>
      <c r="L735" s="330">
        <f t="shared" si="83"/>
        <v>0</v>
      </c>
      <c r="M735" s="2"/>
      <c r="N735" s="2"/>
      <c r="O735" s="2"/>
      <c r="P735" s="2"/>
      <c r="Q735" s="2"/>
      <c r="R735" s="2"/>
      <c r="S735" s="2"/>
      <c r="T735" s="2"/>
      <c r="U735" s="2"/>
      <c r="V735" s="2"/>
      <c r="W735" s="2"/>
      <c r="X735" s="2"/>
      <c r="Y735" s="2"/>
      <c r="Z735" s="2"/>
      <c r="AA735" s="2"/>
      <c r="AB735" s="2"/>
      <c r="AC735" s="2"/>
      <c r="AD735" s="2"/>
      <c r="AE735" s="2"/>
      <c r="AF735" s="2"/>
      <c r="AG735" s="2"/>
      <c r="AH735" s="2"/>
      <c r="AI735" s="2"/>
      <c r="AJ735" s="2"/>
      <c r="AK735" s="2"/>
    </row>
    <row r="736" spans="2:37">
      <c r="B736" s="342" t="s">
        <v>59</v>
      </c>
      <c r="C736" s="343">
        <v>67</v>
      </c>
      <c r="D736" s="344">
        <v>0</v>
      </c>
      <c r="E736" s="327"/>
      <c r="F736" s="654">
        <v>0</v>
      </c>
      <c r="G736" s="655"/>
      <c r="H736" s="332">
        <f t="shared" si="81"/>
        <v>0</v>
      </c>
      <c r="J736" s="654">
        <v>0</v>
      </c>
      <c r="K736" s="655"/>
      <c r="L736" s="332">
        <f t="shared" si="83"/>
        <v>0</v>
      </c>
      <c r="M736" s="2"/>
      <c r="N736" s="2"/>
      <c r="O736" s="2"/>
      <c r="P736" s="2"/>
      <c r="Q736" s="2"/>
      <c r="R736" s="2"/>
      <c r="S736" s="2"/>
      <c r="T736" s="2"/>
      <c r="U736" s="2"/>
      <c r="V736" s="2"/>
      <c r="W736" s="2"/>
      <c r="X736" s="2"/>
      <c r="Y736" s="2"/>
      <c r="Z736" s="2"/>
      <c r="AA736" s="2"/>
      <c r="AB736" s="2"/>
      <c r="AC736" s="2"/>
      <c r="AD736" s="2"/>
      <c r="AE736" s="2"/>
      <c r="AF736" s="2"/>
      <c r="AG736" s="2"/>
      <c r="AH736" s="2"/>
      <c r="AI736" s="2"/>
      <c r="AJ736" s="2"/>
      <c r="AK736" s="2"/>
    </row>
    <row r="737" spans="2:37" ht="15" thickBot="1">
      <c r="B737" s="45" t="s">
        <v>60</v>
      </c>
      <c r="C737" s="340">
        <v>68</v>
      </c>
      <c r="D737" s="341">
        <v>0</v>
      </c>
      <c r="E737" s="327"/>
      <c r="F737" s="669">
        <v>0</v>
      </c>
      <c r="G737" s="670"/>
      <c r="H737" s="247">
        <f t="shared" si="81"/>
        <v>0</v>
      </c>
      <c r="J737" s="669">
        <v>0</v>
      </c>
      <c r="K737" s="670"/>
      <c r="L737" s="247">
        <f t="shared" si="83"/>
        <v>0</v>
      </c>
      <c r="M737" s="2"/>
      <c r="N737" s="2"/>
      <c r="O737" s="2"/>
      <c r="P737" s="2"/>
      <c r="Q737" s="2"/>
      <c r="R737" s="2"/>
      <c r="S737" s="2"/>
      <c r="T737" s="2"/>
      <c r="U737" s="2"/>
      <c r="V737" s="2"/>
      <c r="W737" s="2"/>
      <c r="X737" s="2"/>
      <c r="Y737" s="2"/>
      <c r="Z737" s="2"/>
      <c r="AA737" s="2"/>
      <c r="AB737" s="2"/>
      <c r="AC737" s="2"/>
      <c r="AD737" s="2"/>
      <c r="AE737" s="2"/>
      <c r="AF737" s="2"/>
      <c r="AG737" s="2"/>
      <c r="AH737" s="2"/>
      <c r="AI737" s="2"/>
      <c r="AJ737" s="2"/>
      <c r="AK737" s="2"/>
    </row>
    <row r="738" spans="2:37" ht="15" thickTop="1">
      <c r="B738" s="353" t="s">
        <v>61</v>
      </c>
      <c r="C738" s="353"/>
      <c r="D738" s="371">
        <f>SUM(D706:D737)</f>
        <v>397475</v>
      </c>
      <c r="E738" s="327"/>
      <c r="F738" s="667">
        <f>SUM(F706:G737)</f>
        <v>693565</v>
      </c>
      <c r="G738" s="668"/>
      <c r="H738" s="372">
        <f t="shared" si="81"/>
        <v>0.74</v>
      </c>
      <c r="J738" s="667">
        <f>SUM(J706:K737)</f>
        <v>624676</v>
      </c>
      <c r="K738" s="668"/>
      <c r="L738" s="372">
        <f t="shared" si="83"/>
        <v>-0.1</v>
      </c>
      <c r="M738" s="2"/>
      <c r="N738" s="2"/>
      <c r="O738" s="2"/>
      <c r="P738" s="2"/>
      <c r="Q738" s="2"/>
      <c r="R738" s="2"/>
      <c r="S738" s="2"/>
      <c r="T738" s="2"/>
      <c r="U738" s="2"/>
      <c r="V738" s="2"/>
      <c r="W738" s="2"/>
      <c r="X738" s="2"/>
      <c r="Y738" s="2"/>
      <c r="Z738" s="2"/>
      <c r="AA738" s="2"/>
      <c r="AB738" s="2"/>
      <c r="AC738" s="2"/>
      <c r="AD738" s="2"/>
      <c r="AE738" s="2"/>
      <c r="AF738" s="2"/>
      <c r="AG738" s="2"/>
      <c r="AH738" s="2"/>
      <c r="AI738" s="2"/>
      <c r="AJ738" s="2"/>
      <c r="AK738" s="2"/>
    </row>
    <row r="739" spans="2:37" ht="15.75">
      <c r="B739" s="45" t="s">
        <v>181</v>
      </c>
      <c r="C739" s="45"/>
      <c r="D739" s="356">
        <f>G1312</f>
        <v>70.7</v>
      </c>
      <c r="E739" s="327"/>
      <c r="F739" s="665">
        <f>I1312</f>
        <v>82.5</v>
      </c>
      <c r="G739" s="666"/>
      <c r="H739" s="247">
        <f t="shared" si="81"/>
        <v>0.17</v>
      </c>
      <c r="J739" s="665">
        <f>K1312</f>
        <v>70</v>
      </c>
      <c r="K739" s="666"/>
      <c r="L739" s="247">
        <f t="shared" si="83"/>
        <v>-0.15</v>
      </c>
      <c r="M739" s="2"/>
      <c r="N739" s="2"/>
      <c r="O739" s="2"/>
      <c r="P739" s="2"/>
      <c r="Q739" s="2"/>
      <c r="R739" s="2"/>
      <c r="S739" s="2"/>
      <c r="T739" s="2"/>
      <c r="U739" s="2"/>
      <c r="V739" s="2"/>
      <c r="W739" s="2"/>
      <c r="X739" s="2"/>
      <c r="Y739" s="2"/>
      <c r="Z739" s="2"/>
      <c r="AA739" s="2"/>
      <c r="AB739" s="2"/>
      <c r="AC739" s="2"/>
      <c r="AD739" s="2"/>
      <c r="AE739" s="2"/>
      <c r="AF739" s="2"/>
      <c r="AG739" s="2"/>
      <c r="AH739" s="2"/>
      <c r="AI739" s="2"/>
      <c r="AJ739" s="2"/>
      <c r="AK739" s="2"/>
    </row>
    <row r="740" spans="2:37" ht="16.5" thickBot="1">
      <c r="B740" s="342" t="s">
        <v>182</v>
      </c>
      <c r="C740" s="342"/>
      <c r="D740" s="346">
        <f>IF(D738=0,0,D738/D739)</f>
        <v>5622</v>
      </c>
      <c r="E740" s="327"/>
      <c r="F740" s="663">
        <f>IF(F738=0,0,F738/F739)</f>
        <v>8407</v>
      </c>
      <c r="G740" s="664"/>
      <c r="H740" s="357">
        <f t="shared" si="81"/>
        <v>0.5</v>
      </c>
      <c r="J740" s="663">
        <f>IF(J738=0,0,J738/J739)</f>
        <v>8924</v>
      </c>
      <c r="K740" s="664"/>
      <c r="L740" s="357">
        <f t="shared" si="83"/>
        <v>0.06</v>
      </c>
      <c r="M740" s="2"/>
      <c r="N740" s="2"/>
      <c r="O740" s="2"/>
      <c r="P740" s="2"/>
      <c r="Q740" s="2"/>
      <c r="R740" s="2"/>
      <c r="S740" s="2"/>
      <c r="T740" s="2"/>
      <c r="U740" s="2"/>
      <c r="V740" s="2"/>
      <c r="W740" s="2"/>
      <c r="X740" s="2"/>
      <c r="Y740" s="2"/>
      <c r="Z740" s="2"/>
      <c r="AA740" s="2"/>
      <c r="AB740" s="2"/>
      <c r="AC740" s="2"/>
      <c r="AD740" s="2"/>
      <c r="AE740" s="2"/>
      <c r="AF740" s="2"/>
      <c r="AG740" s="2"/>
      <c r="AH740" s="2"/>
      <c r="AI740" s="2"/>
      <c r="AJ740" s="2"/>
      <c r="AK740" s="2"/>
    </row>
    <row r="741" spans="2:37">
      <c r="B741" s="358" t="s">
        <v>63</v>
      </c>
      <c r="C741" s="358"/>
      <c r="D741" s="359">
        <f>SUM([1]C010!$C$134:$C$151)</f>
        <v>0</v>
      </c>
      <c r="E741" s="327"/>
      <c r="F741" s="769">
        <f>SUM([1]C010!$D$134:$D$151)</f>
        <v>0</v>
      </c>
      <c r="G741" s="662"/>
      <c r="H741" s="360">
        <f t="shared" si="81"/>
        <v>0</v>
      </c>
      <c r="J741" s="769">
        <f>SUM([1]C010!$E$134:$E$151)</f>
        <v>0</v>
      </c>
      <c r="K741" s="662"/>
      <c r="L741" s="360">
        <f t="shared" si="83"/>
        <v>0</v>
      </c>
      <c r="M741" s="2"/>
      <c r="N741" s="2"/>
      <c r="O741" s="2"/>
      <c r="P741" s="2"/>
      <c r="Q741" s="2"/>
      <c r="R741" s="2"/>
      <c r="S741" s="2"/>
      <c r="T741" s="2"/>
      <c r="U741" s="2"/>
      <c r="V741" s="2"/>
      <c r="W741" s="2"/>
      <c r="X741" s="2"/>
      <c r="Y741" s="2"/>
      <c r="Z741" s="2"/>
      <c r="AA741" s="2"/>
      <c r="AB741" s="2"/>
      <c r="AC741" s="2"/>
      <c r="AD741" s="2"/>
      <c r="AE741" s="2"/>
      <c r="AF741" s="2"/>
      <c r="AG741" s="2"/>
      <c r="AH741" s="2"/>
      <c r="AI741" s="2"/>
      <c r="AJ741" s="2"/>
      <c r="AK741" s="2"/>
    </row>
    <row r="742" spans="2:37">
      <c r="B742" s="342" t="s">
        <v>64</v>
      </c>
      <c r="C742" s="342"/>
      <c r="D742" s="331">
        <f>SUM([1]C012!$C$103:$C$120)</f>
        <v>0</v>
      </c>
      <c r="E742" s="327"/>
      <c r="F742" s="656">
        <f>SUM([1]C012!$D$103:$D$120)</f>
        <v>0</v>
      </c>
      <c r="G742" s="655"/>
      <c r="H742" s="332">
        <f t="shared" si="81"/>
        <v>0</v>
      </c>
      <c r="J742" s="656">
        <f>SUM([1]C012!$E$103:$E$120)</f>
        <v>0</v>
      </c>
      <c r="K742" s="655"/>
      <c r="L742" s="332">
        <f t="shared" si="83"/>
        <v>0</v>
      </c>
      <c r="M742" s="2"/>
      <c r="N742" s="2"/>
      <c r="O742" s="2"/>
      <c r="P742" s="2"/>
      <c r="Q742" s="2"/>
      <c r="R742" s="2"/>
      <c r="S742" s="2"/>
      <c r="T742" s="2"/>
      <c r="U742" s="2"/>
      <c r="V742" s="2"/>
      <c r="W742" s="2"/>
      <c r="X742" s="2"/>
      <c r="Y742" s="2"/>
      <c r="Z742" s="2"/>
      <c r="AA742" s="2"/>
      <c r="AB742" s="2"/>
      <c r="AC742" s="2"/>
      <c r="AD742" s="2"/>
      <c r="AE742" s="2"/>
      <c r="AF742" s="2"/>
      <c r="AG742" s="2"/>
      <c r="AH742" s="2"/>
      <c r="AI742" s="2"/>
      <c r="AJ742" s="2"/>
      <c r="AK742" s="2"/>
    </row>
    <row r="743" spans="2:37" ht="15" thickBot="1">
      <c r="B743" s="361" t="s">
        <v>65</v>
      </c>
      <c r="C743" s="361"/>
      <c r="D743" s="362">
        <f>SUM([1]C078!$C$136:$C$158)</f>
        <v>0</v>
      </c>
      <c r="E743" s="327"/>
      <c r="F743" s="684">
        <f>SUM([1]C078!$D$136:$D$158)</f>
        <v>0</v>
      </c>
      <c r="G743" s="660"/>
      <c r="H743" s="363">
        <f t="shared" si="81"/>
        <v>0</v>
      </c>
      <c r="J743" s="684">
        <f>SUM([1]C078!$E$136:$E$158)</f>
        <v>0</v>
      </c>
      <c r="K743" s="660"/>
      <c r="L743" s="363">
        <f t="shared" si="83"/>
        <v>0</v>
      </c>
      <c r="M743" s="2"/>
      <c r="N743" s="2"/>
      <c r="O743" s="2"/>
      <c r="P743" s="2"/>
      <c r="Q743" s="2"/>
      <c r="R743" s="2"/>
      <c r="S743" s="2"/>
      <c r="T743" s="2"/>
      <c r="U743" s="2"/>
      <c r="V743" s="2"/>
      <c r="W743" s="2"/>
      <c r="X743" s="2"/>
      <c r="Y743" s="2"/>
      <c r="Z743" s="2"/>
      <c r="AA743" s="2"/>
      <c r="AB743" s="2"/>
      <c r="AC743" s="2"/>
      <c r="AD743" s="2"/>
      <c r="AE743" s="2"/>
      <c r="AF743" s="2"/>
      <c r="AG743" s="2"/>
      <c r="AH743" s="2"/>
      <c r="AI743" s="2"/>
      <c r="AJ743" s="2"/>
      <c r="AK743" s="2"/>
    </row>
    <row r="744" spans="2:37" ht="15" thickTop="1">
      <c r="B744" s="365" t="s">
        <v>66</v>
      </c>
      <c r="C744" s="365"/>
      <c r="D744" s="373">
        <f>SUM(D741:D743,D738)</f>
        <v>397475</v>
      </c>
      <c r="E744" s="327"/>
      <c r="F744" s="657">
        <f>SUM(F741:G743,F738)</f>
        <v>693565</v>
      </c>
      <c r="G744" s="658"/>
      <c r="H744" s="374">
        <f t="shared" si="81"/>
        <v>0.74</v>
      </c>
      <c r="J744" s="657">
        <f>SUM(J741:K743,J738)</f>
        <v>624676</v>
      </c>
      <c r="K744" s="658"/>
      <c r="L744" s="374">
        <f t="shared" si="83"/>
        <v>-0.1</v>
      </c>
      <c r="M744" s="2"/>
      <c r="N744" s="2"/>
      <c r="O744" s="2"/>
      <c r="P744" s="2"/>
      <c r="Q744" s="2"/>
      <c r="R744" s="2"/>
      <c r="S744" s="2"/>
      <c r="T744" s="2"/>
      <c r="U744" s="2"/>
      <c r="V744" s="2"/>
      <c r="W744" s="2"/>
      <c r="X744" s="2"/>
      <c r="Y744" s="2"/>
      <c r="Z744" s="2"/>
      <c r="AA744" s="2"/>
      <c r="AB744" s="2"/>
      <c r="AC744" s="2"/>
      <c r="AD744" s="2"/>
      <c r="AE744" s="2"/>
      <c r="AF744" s="2"/>
      <c r="AG744" s="2"/>
      <c r="AH744" s="2"/>
      <c r="AI744" s="2"/>
      <c r="AJ744" s="2"/>
      <c r="AK744" s="2"/>
    </row>
    <row r="745" spans="2:37" ht="6.75" customHeight="1">
      <c r="B745" s="2"/>
      <c r="C745" s="2"/>
      <c r="D745" s="159"/>
      <c r="E745" s="2"/>
      <c r="F745" s="159"/>
      <c r="G745" s="201"/>
      <c r="H745" s="2"/>
      <c r="I745" s="159"/>
      <c r="J745" s="201"/>
      <c r="K745" s="2"/>
      <c r="L745" s="2"/>
      <c r="M745" s="2"/>
      <c r="N745" s="2"/>
      <c r="O745" s="2"/>
      <c r="P745" s="2"/>
      <c r="Q745" s="2"/>
      <c r="R745" s="2"/>
      <c r="S745" s="2"/>
      <c r="T745" s="2"/>
      <c r="U745" s="2"/>
      <c r="V745" s="2"/>
      <c r="W745" s="2"/>
      <c r="X745" s="2"/>
      <c r="Y745" s="2"/>
      <c r="Z745" s="2"/>
      <c r="AA745" s="2"/>
      <c r="AB745" s="2"/>
      <c r="AC745" s="2"/>
      <c r="AD745" s="2"/>
      <c r="AE745" s="2"/>
      <c r="AF745" s="2"/>
      <c r="AG745" s="2"/>
      <c r="AH745" s="2"/>
      <c r="AI745" s="2"/>
      <c r="AJ745" s="2"/>
      <c r="AK745" s="2"/>
    </row>
    <row r="746" spans="2:37">
      <c r="B746" s="650"/>
      <c r="C746" s="650"/>
      <c r="D746" s="650"/>
      <c r="E746" s="650"/>
      <c r="F746" s="650"/>
      <c r="G746" s="650"/>
      <c r="H746" s="650"/>
      <c r="I746" s="650"/>
      <c r="J746" s="650"/>
      <c r="K746" s="650"/>
      <c r="L746" s="650"/>
      <c r="M746" s="2"/>
      <c r="N746" s="2"/>
      <c r="S746" s="2"/>
      <c r="T746" s="2"/>
      <c r="U746" s="2"/>
      <c r="V746" s="2"/>
      <c r="W746" s="2"/>
      <c r="X746" s="2"/>
      <c r="Y746" s="2"/>
      <c r="Z746" s="2"/>
      <c r="AA746" s="2"/>
      <c r="AB746" s="2"/>
      <c r="AC746" s="2"/>
      <c r="AD746" s="2"/>
      <c r="AE746" s="2"/>
      <c r="AF746" s="2"/>
      <c r="AG746" s="2"/>
      <c r="AH746" s="2"/>
      <c r="AI746" s="2"/>
      <c r="AJ746" s="2"/>
      <c r="AK746" s="2"/>
    </row>
    <row r="747" spans="2:37">
      <c r="B747" s="650"/>
      <c r="C747" s="650"/>
      <c r="D747" s="650"/>
      <c r="E747" s="650"/>
      <c r="F747" s="650"/>
      <c r="G747" s="650"/>
      <c r="H747" s="650"/>
      <c r="I747" s="650"/>
      <c r="J747" s="650"/>
      <c r="K747" s="650"/>
      <c r="L747" s="650"/>
      <c r="M747" s="2"/>
      <c r="N747" s="2"/>
      <c r="S747" s="2"/>
      <c r="T747" s="2"/>
      <c r="U747" s="2"/>
      <c r="V747" s="2"/>
      <c r="W747" s="2"/>
      <c r="X747" s="2"/>
      <c r="Y747" s="2"/>
      <c r="Z747" s="2"/>
      <c r="AA747" s="2"/>
      <c r="AB747" s="2"/>
      <c r="AC747" s="2"/>
      <c r="AD747" s="2"/>
      <c r="AE747" s="2"/>
      <c r="AF747" s="2"/>
      <c r="AG747" s="2"/>
      <c r="AH747" s="2"/>
      <c r="AI747" s="2"/>
      <c r="AJ747" s="2"/>
      <c r="AK747" s="2"/>
    </row>
    <row r="748" spans="2:37">
      <c r="B748" s="650"/>
      <c r="C748" s="650"/>
      <c r="D748" s="650"/>
      <c r="E748" s="650"/>
      <c r="F748" s="650"/>
      <c r="G748" s="650"/>
      <c r="H748" s="650"/>
      <c r="I748" s="650"/>
      <c r="J748" s="650"/>
      <c r="K748" s="650"/>
      <c r="L748" s="650"/>
      <c r="M748" s="2"/>
      <c r="N748" s="2"/>
      <c r="O748" s="2"/>
      <c r="P748" s="2"/>
      <c r="Q748" s="2"/>
      <c r="R748" s="2"/>
      <c r="S748" s="2"/>
      <c r="T748" s="2"/>
      <c r="U748" s="2"/>
      <c r="V748" s="2"/>
      <c r="W748" s="2"/>
      <c r="X748" s="2"/>
      <c r="Y748" s="2"/>
      <c r="Z748" s="2"/>
      <c r="AA748" s="2"/>
      <c r="AB748" s="2"/>
      <c r="AC748" s="2"/>
      <c r="AD748" s="2"/>
      <c r="AE748" s="2"/>
      <c r="AF748" s="2"/>
      <c r="AG748" s="2"/>
      <c r="AH748" s="2"/>
      <c r="AI748" s="2"/>
      <c r="AJ748" s="2"/>
      <c r="AK748" s="2"/>
    </row>
    <row r="749" spans="2:37">
      <c r="B749" s="208"/>
      <c r="C749" s="2"/>
      <c r="D749" s="159"/>
      <c r="E749" s="2"/>
      <c r="F749" s="159"/>
      <c r="G749" s="201"/>
      <c r="H749" s="2"/>
      <c r="I749" s="159"/>
      <c r="J749" s="201"/>
      <c r="K749" s="2"/>
      <c r="L749" s="2"/>
      <c r="M749" s="2"/>
      <c r="N749" s="2"/>
      <c r="S749" s="2"/>
      <c r="T749" s="2"/>
      <c r="U749" s="2"/>
      <c r="V749" s="2"/>
      <c r="W749" s="2"/>
      <c r="X749" s="2"/>
      <c r="Y749" s="2"/>
      <c r="Z749" s="2"/>
      <c r="AA749" s="2"/>
      <c r="AB749" s="2"/>
      <c r="AC749" s="2"/>
      <c r="AD749" s="2"/>
      <c r="AE749" s="2"/>
      <c r="AF749" s="2"/>
      <c r="AG749" s="2"/>
      <c r="AH749" s="2"/>
      <c r="AI749" s="2"/>
      <c r="AJ749" s="2"/>
      <c r="AK749" s="2"/>
    </row>
    <row r="750" spans="2:37">
      <c r="B750" s="2"/>
      <c r="C750" s="2"/>
      <c r="D750" s="159"/>
      <c r="E750" s="2"/>
      <c r="F750" s="159"/>
      <c r="G750" s="201"/>
      <c r="H750" s="2"/>
      <c r="I750" s="159"/>
      <c r="J750" s="201"/>
      <c r="K750" s="2"/>
      <c r="L750" s="2"/>
      <c r="M750" s="2"/>
      <c r="N750" s="2"/>
      <c r="S750" s="2"/>
      <c r="T750" s="2"/>
      <c r="U750" s="2"/>
      <c r="V750" s="2"/>
      <c r="W750" s="2"/>
      <c r="X750" s="2"/>
      <c r="Y750" s="2"/>
      <c r="Z750" s="2"/>
      <c r="AA750" s="2"/>
      <c r="AB750" s="2"/>
      <c r="AC750" s="2"/>
      <c r="AD750" s="2"/>
      <c r="AE750" s="2"/>
      <c r="AF750" s="2"/>
      <c r="AG750" s="2"/>
      <c r="AH750" s="2"/>
      <c r="AI750" s="2"/>
      <c r="AJ750" s="2"/>
      <c r="AK750" s="2"/>
    </row>
    <row r="751" spans="2:37">
      <c r="B751" s="2"/>
      <c r="C751" s="2"/>
      <c r="D751" s="159"/>
      <c r="E751" s="2"/>
      <c r="F751" s="159"/>
      <c r="G751" s="201"/>
      <c r="H751" s="2"/>
      <c r="I751" s="159"/>
      <c r="J751" s="201"/>
      <c r="K751" s="2"/>
      <c r="L751" s="2"/>
      <c r="M751" s="2"/>
      <c r="N751" s="2"/>
      <c r="S751" s="2"/>
      <c r="T751" s="2"/>
      <c r="U751" s="2"/>
      <c r="V751" s="2"/>
      <c r="W751" s="2"/>
      <c r="X751" s="2"/>
      <c r="Y751" s="2"/>
      <c r="Z751" s="2"/>
      <c r="AA751" s="2"/>
      <c r="AB751" s="2"/>
      <c r="AC751" s="2"/>
      <c r="AD751" s="2"/>
      <c r="AE751" s="2"/>
      <c r="AF751" s="2"/>
      <c r="AG751" s="2"/>
      <c r="AH751" s="2"/>
      <c r="AI751" s="2"/>
      <c r="AJ751" s="2"/>
      <c r="AK751" s="2"/>
    </row>
    <row r="752" spans="2:37">
      <c r="B752" s="2"/>
      <c r="C752" s="2"/>
      <c r="D752" s="159"/>
      <c r="E752" s="2"/>
      <c r="F752" s="159"/>
      <c r="G752" s="201"/>
      <c r="H752" s="2"/>
      <c r="I752" s="159"/>
      <c r="J752" s="201"/>
      <c r="K752" s="2"/>
      <c r="L752" s="2"/>
      <c r="M752" s="2"/>
      <c r="N752" s="2"/>
      <c r="O752" s="2"/>
      <c r="P752" s="2"/>
      <c r="Q752" s="2"/>
      <c r="R752" s="2"/>
      <c r="S752" s="2"/>
      <c r="T752" s="2"/>
      <c r="U752" s="2"/>
      <c r="V752" s="2"/>
      <c r="W752" s="2"/>
      <c r="X752" s="2"/>
      <c r="Y752" s="2"/>
      <c r="Z752" s="2"/>
      <c r="AA752" s="2"/>
      <c r="AB752" s="2"/>
      <c r="AC752" s="2"/>
      <c r="AD752" s="2"/>
      <c r="AE752" s="2"/>
      <c r="AF752" s="2"/>
      <c r="AG752" s="2"/>
      <c r="AH752" s="2"/>
      <c r="AI752" s="2"/>
      <c r="AJ752" s="2"/>
      <c r="AK752" s="2"/>
    </row>
    <row r="753" spans="2:37">
      <c r="B753" s="2"/>
      <c r="C753" s="2"/>
      <c r="D753" s="159"/>
      <c r="E753" s="2"/>
      <c r="F753" s="159"/>
      <c r="G753" s="201"/>
      <c r="H753" s="2"/>
      <c r="I753" s="159"/>
      <c r="J753" s="201"/>
      <c r="K753" s="2"/>
      <c r="L753" s="2"/>
      <c r="M753" s="2"/>
      <c r="N753" s="2"/>
      <c r="O753" s="2"/>
      <c r="P753" s="2"/>
      <c r="Q753" s="2"/>
      <c r="R753" s="2"/>
      <c r="S753" s="2"/>
      <c r="T753" s="2"/>
      <c r="U753" s="2"/>
      <c r="V753" s="2"/>
      <c r="W753" s="2"/>
      <c r="X753" s="2"/>
      <c r="Y753" s="2"/>
      <c r="Z753" s="2"/>
      <c r="AA753" s="2"/>
      <c r="AB753" s="2"/>
      <c r="AC753" s="2"/>
      <c r="AD753" s="2"/>
      <c r="AE753" s="2"/>
      <c r="AF753" s="2"/>
      <c r="AG753" s="2"/>
      <c r="AH753" s="2"/>
      <c r="AI753" s="2"/>
      <c r="AJ753" s="2"/>
      <c r="AK753" s="2"/>
    </row>
    <row r="754" spans="2:37">
      <c r="B754" s="2"/>
      <c r="C754" s="2"/>
      <c r="D754" s="159"/>
      <c r="E754" s="2"/>
      <c r="F754" s="159"/>
      <c r="G754" s="201"/>
      <c r="H754" s="2"/>
      <c r="I754" s="159"/>
      <c r="J754" s="201"/>
      <c r="K754" s="2"/>
      <c r="L754" s="2"/>
      <c r="M754" s="2"/>
      <c r="N754" s="2"/>
      <c r="O754" s="2"/>
      <c r="P754" s="2"/>
      <c r="Q754" s="2"/>
      <c r="R754" s="2"/>
      <c r="S754" s="2"/>
      <c r="T754" s="2"/>
      <c r="U754" s="2"/>
      <c r="V754" s="2"/>
      <c r="W754" s="2"/>
      <c r="X754" s="2"/>
      <c r="Y754" s="2"/>
      <c r="Z754" s="2"/>
      <c r="AA754" s="2"/>
      <c r="AB754" s="2"/>
      <c r="AC754" s="2"/>
      <c r="AD754" s="2"/>
      <c r="AE754" s="2"/>
      <c r="AF754" s="2"/>
      <c r="AG754" s="2"/>
      <c r="AH754" s="2"/>
      <c r="AI754" s="2"/>
      <c r="AJ754" s="2"/>
      <c r="AK754" s="2"/>
    </row>
    <row r="755" spans="2:37">
      <c r="B755" s="2"/>
      <c r="C755" s="2"/>
      <c r="D755" s="159"/>
      <c r="E755" s="2"/>
      <c r="F755" s="159"/>
      <c r="G755" s="201"/>
      <c r="H755" s="2"/>
      <c r="I755" s="159"/>
      <c r="J755" s="201"/>
      <c r="K755" s="2"/>
      <c r="L755" s="2"/>
      <c r="M755" s="2"/>
      <c r="N755" s="2"/>
      <c r="O755" s="2"/>
      <c r="P755" s="2"/>
      <c r="Q755" s="2"/>
      <c r="R755" s="2"/>
      <c r="S755" s="2"/>
      <c r="T755" s="2"/>
      <c r="U755" s="2"/>
      <c r="V755" s="2"/>
      <c r="W755" s="2"/>
      <c r="X755" s="2"/>
      <c r="Y755" s="2"/>
      <c r="Z755" s="2"/>
      <c r="AA755" s="2"/>
      <c r="AB755" s="2"/>
      <c r="AC755" s="2"/>
      <c r="AD755" s="2"/>
      <c r="AE755" s="2"/>
      <c r="AF755" s="2"/>
      <c r="AG755" s="2"/>
      <c r="AH755" s="2"/>
      <c r="AI755" s="2"/>
      <c r="AJ755" s="2"/>
      <c r="AK755" s="2"/>
    </row>
    <row r="756" spans="2:37">
      <c r="B756" s="2"/>
      <c r="C756" s="2"/>
      <c r="D756" s="159"/>
      <c r="E756" s="2"/>
      <c r="F756" s="159"/>
      <c r="G756" s="201"/>
      <c r="H756" s="2"/>
      <c r="I756" s="159"/>
      <c r="J756" s="201"/>
      <c r="K756" s="2"/>
      <c r="L756" s="2"/>
      <c r="M756" s="2"/>
      <c r="N756" s="2"/>
      <c r="O756" s="2"/>
      <c r="P756" s="2"/>
      <c r="Q756" s="2"/>
      <c r="R756" s="2"/>
      <c r="S756" s="2"/>
      <c r="T756" s="2"/>
      <c r="U756" s="2"/>
      <c r="V756" s="2"/>
      <c r="W756" s="2"/>
      <c r="X756" s="2"/>
      <c r="Y756" s="2"/>
      <c r="Z756" s="2"/>
      <c r="AA756" s="2"/>
      <c r="AB756" s="2"/>
      <c r="AC756" s="2"/>
      <c r="AD756" s="2"/>
      <c r="AE756" s="2"/>
      <c r="AF756" s="2"/>
      <c r="AG756" s="2"/>
      <c r="AH756" s="2"/>
      <c r="AI756" s="2"/>
      <c r="AJ756" s="2"/>
      <c r="AK756" s="2"/>
    </row>
    <row r="757" spans="2:37">
      <c r="B757" s="2"/>
      <c r="C757" s="2"/>
      <c r="D757" s="159"/>
      <c r="E757" s="2"/>
      <c r="F757" s="159"/>
      <c r="G757" s="201"/>
      <c r="H757" s="2"/>
      <c r="I757" s="159"/>
      <c r="J757" s="201"/>
      <c r="K757" s="2"/>
      <c r="L757" s="2"/>
      <c r="M757" s="2"/>
      <c r="N757" s="2"/>
      <c r="O757" s="2"/>
      <c r="P757" s="140" t="str">
        <f>$B$702</f>
        <v>Operations and Maintenance Expenditures (2600)</v>
      </c>
      <c r="Q757" s="2"/>
      <c r="R757" s="2"/>
      <c r="S757" s="2"/>
      <c r="T757" s="2"/>
      <c r="U757" s="2"/>
      <c r="V757" s="2"/>
      <c r="W757" s="2"/>
      <c r="X757" s="2"/>
      <c r="Y757" s="2"/>
      <c r="Z757" s="2"/>
      <c r="AA757" s="2"/>
      <c r="AB757" s="2"/>
      <c r="AC757" s="2"/>
      <c r="AD757" s="2"/>
      <c r="AE757" s="2"/>
      <c r="AF757" s="2"/>
      <c r="AG757" s="2"/>
      <c r="AH757" s="2"/>
      <c r="AI757" s="2"/>
      <c r="AJ757" s="2"/>
      <c r="AK757" s="2"/>
    </row>
    <row r="758" spans="2:37">
      <c r="B758" s="2"/>
      <c r="C758" s="2"/>
      <c r="D758" s="159"/>
      <c r="E758" s="2"/>
      <c r="F758" s="159"/>
      <c r="G758" s="201"/>
      <c r="H758" s="2"/>
      <c r="I758" s="159"/>
      <c r="J758" s="201"/>
      <c r="K758" s="2"/>
      <c r="L758" s="2"/>
      <c r="M758" s="2"/>
      <c r="N758" s="2"/>
      <c r="O758" s="2"/>
      <c r="P758" s="82" t="str">
        <f>D4</f>
        <v>2023-2024</v>
      </c>
      <c r="Q758" s="82" t="str">
        <f>F4</f>
        <v>2024-2025</v>
      </c>
      <c r="R758" s="82" t="str">
        <f>I4</f>
        <v>2025-2026</v>
      </c>
      <c r="S758" s="2"/>
      <c r="T758" s="2"/>
      <c r="U758" s="2"/>
      <c r="V758" s="2"/>
      <c r="W758" s="2"/>
      <c r="X758" s="2"/>
      <c r="Y758" s="2"/>
      <c r="Z758" s="2"/>
      <c r="AA758" s="2"/>
      <c r="AB758" s="2"/>
      <c r="AC758" s="2"/>
      <c r="AD758" s="2"/>
      <c r="AE758" s="2"/>
      <c r="AF758" s="2"/>
      <c r="AG758" s="2"/>
      <c r="AH758" s="2"/>
      <c r="AI758" s="2"/>
      <c r="AJ758" s="2"/>
      <c r="AK758" s="2"/>
    </row>
    <row r="759" spans="2:37">
      <c r="B759" s="2"/>
      <c r="C759" s="2"/>
      <c r="D759" s="159"/>
      <c r="E759" s="2"/>
      <c r="F759" s="159"/>
      <c r="G759" s="201"/>
      <c r="H759" s="2"/>
      <c r="I759" s="159"/>
      <c r="J759" s="201"/>
      <c r="K759" s="2"/>
      <c r="L759" s="2"/>
      <c r="M759" s="2"/>
      <c r="N759" s="2"/>
      <c r="O759" s="140" t="str">
        <f>$B702</f>
        <v>Operations and Maintenance Expenditures (2600)</v>
      </c>
      <c r="P759" s="207">
        <f>IF(AND($D744&lt;=0,$F744&lt;=0,$J744&lt;=0),#N/A,IF($D744&lt;=0,0,$D744))</f>
        <v>397475</v>
      </c>
      <c r="Q759" s="207">
        <f>IF(AND($D744&lt;=0,$F744&lt;=0,$J744&lt;=0),#N/A,IF($F744&lt;=0,0,$F744))</f>
        <v>693565</v>
      </c>
      <c r="R759" s="207">
        <f>IF(AND($D744&lt;=0,$F744&lt;=0,$J744&lt;=0),#N/A,IF($J744&lt;=0,0,$J744))</f>
        <v>624676</v>
      </c>
      <c r="S759" s="2"/>
      <c r="T759" s="2"/>
      <c r="U759" s="2"/>
      <c r="V759" s="2"/>
      <c r="W759" s="2"/>
      <c r="X759" s="2"/>
      <c r="Y759" s="2"/>
      <c r="Z759" s="2"/>
      <c r="AA759" s="2"/>
      <c r="AB759" s="2"/>
      <c r="AC759" s="2"/>
      <c r="AD759" s="2"/>
      <c r="AE759" s="2"/>
      <c r="AF759" s="2"/>
      <c r="AG759" s="2"/>
      <c r="AH759" s="2"/>
      <c r="AI759" s="2"/>
      <c r="AJ759" s="2"/>
      <c r="AK759" s="2"/>
    </row>
    <row r="760" spans="2:37">
      <c r="B760" s="2"/>
      <c r="C760" s="2"/>
      <c r="D760" s="159"/>
      <c r="E760" s="2"/>
      <c r="F760" s="159"/>
      <c r="G760" s="201"/>
      <c r="H760" s="2"/>
      <c r="I760" s="159"/>
      <c r="J760" s="201"/>
      <c r="K760" s="2"/>
      <c r="L760" s="2"/>
      <c r="M760" s="2"/>
      <c r="N760" s="2"/>
      <c r="O760" s="2"/>
      <c r="P760" s="2"/>
      <c r="Q760" s="2"/>
      <c r="R760" s="2"/>
      <c r="S760" s="2"/>
      <c r="T760" s="2"/>
      <c r="U760" s="2"/>
      <c r="V760" s="2"/>
      <c r="W760" s="2"/>
      <c r="X760" s="2"/>
      <c r="Y760" s="2"/>
      <c r="Z760" s="2"/>
      <c r="AA760" s="2"/>
      <c r="AB760" s="2"/>
      <c r="AC760" s="2"/>
      <c r="AD760" s="2"/>
      <c r="AE760" s="2"/>
      <c r="AF760" s="2"/>
      <c r="AG760" s="2"/>
      <c r="AH760" s="2"/>
      <c r="AI760" s="2"/>
      <c r="AJ760" s="2"/>
      <c r="AK760" s="2"/>
    </row>
    <row r="761" spans="2:37">
      <c r="B761" s="2"/>
      <c r="C761" s="2"/>
      <c r="D761" s="159"/>
      <c r="E761" s="2"/>
      <c r="F761" s="159"/>
      <c r="G761" s="201"/>
      <c r="H761" s="2"/>
      <c r="I761" s="159"/>
      <c r="J761" s="201"/>
      <c r="K761" s="2"/>
      <c r="L761" s="2"/>
      <c r="M761" s="2"/>
      <c r="N761" s="2"/>
      <c r="O761" s="2"/>
      <c r="P761" s="2"/>
      <c r="Q761" s="2"/>
      <c r="R761" s="2"/>
      <c r="S761" s="2"/>
      <c r="T761" s="2"/>
      <c r="U761" s="2"/>
      <c r="V761" s="2"/>
      <c r="W761" s="2"/>
      <c r="X761" s="2"/>
      <c r="Y761" s="2"/>
      <c r="Z761" s="2"/>
      <c r="AA761" s="2"/>
      <c r="AB761" s="2"/>
      <c r="AC761" s="2"/>
      <c r="AD761" s="2"/>
      <c r="AE761" s="2"/>
      <c r="AF761" s="2"/>
      <c r="AG761" s="2"/>
      <c r="AH761" s="2"/>
      <c r="AI761" s="2"/>
      <c r="AJ761" s="2"/>
      <c r="AK761" s="2"/>
    </row>
    <row r="762" spans="2:37">
      <c r="C762" s="2"/>
      <c r="D762" s="159"/>
      <c r="E762" s="2"/>
      <c r="F762" s="159"/>
      <c r="G762" s="201"/>
      <c r="H762" s="2"/>
      <c r="I762" s="159"/>
      <c r="J762" s="201"/>
      <c r="K762" s="2"/>
      <c r="L762" s="2"/>
      <c r="M762" s="2"/>
      <c r="N762" s="2"/>
      <c r="O762" s="2"/>
      <c r="P762" s="2"/>
      <c r="Q762" s="2"/>
      <c r="R762" s="2"/>
      <c r="S762" s="2"/>
      <c r="T762" s="2"/>
      <c r="U762" s="2"/>
      <c r="V762" s="2"/>
      <c r="W762" s="2"/>
      <c r="X762" s="2"/>
      <c r="Y762" s="2"/>
      <c r="Z762" s="2"/>
      <c r="AA762" s="2"/>
      <c r="AB762" s="2"/>
      <c r="AC762" s="2"/>
      <c r="AD762" s="2"/>
      <c r="AE762" s="2"/>
      <c r="AF762" s="2"/>
      <c r="AG762" s="2"/>
      <c r="AH762" s="2"/>
      <c r="AI762" s="2"/>
      <c r="AJ762" s="2"/>
      <c r="AK762" s="2"/>
    </row>
    <row r="763" spans="2:37">
      <c r="C763" s="2"/>
      <c r="D763" s="159"/>
      <c r="E763" s="2"/>
      <c r="F763" s="159"/>
      <c r="G763" s="201"/>
      <c r="H763" s="2"/>
      <c r="I763" s="159"/>
      <c r="J763" s="201"/>
      <c r="K763" s="2"/>
      <c r="L763" s="2"/>
      <c r="M763" s="2"/>
      <c r="N763" s="2"/>
      <c r="O763" s="2"/>
      <c r="P763" s="2"/>
      <c r="Q763" s="2"/>
      <c r="R763" s="2"/>
      <c r="S763" s="2"/>
      <c r="T763" s="2"/>
      <c r="U763" s="2"/>
      <c r="V763" s="2"/>
      <c r="W763" s="2"/>
      <c r="X763" s="2"/>
      <c r="Y763" s="2"/>
      <c r="Z763" s="2"/>
      <c r="AA763" s="2"/>
      <c r="AB763" s="2"/>
      <c r="AC763" s="2"/>
      <c r="AD763" s="2"/>
      <c r="AE763" s="2"/>
      <c r="AF763" s="2"/>
      <c r="AG763" s="2"/>
      <c r="AH763" s="2"/>
      <c r="AI763" s="2"/>
      <c r="AJ763" s="2"/>
      <c r="AK763" s="2"/>
    </row>
    <row r="764" spans="2:37">
      <c r="C764" s="2"/>
      <c r="D764" s="159"/>
      <c r="E764" s="2"/>
      <c r="F764" s="159"/>
      <c r="G764" s="201"/>
      <c r="H764" s="2"/>
      <c r="I764" s="159"/>
      <c r="J764" s="201"/>
      <c r="K764" s="2"/>
      <c r="L764" s="2"/>
      <c r="M764" s="2"/>
      <c r="N764" s="2"/>
      <c r="O764" s="2"/>
      <c r="P764" s="2"/>
      <c r="Q764" s="2"/>
      <c r="R764" s="2"/>
      <c r="S764" s="2"/>
      <c r="T764" s="2"/>
      <c r="U764" s="2"/>
      <c r="V764" s="2"/>
      <c r="W764" s="2"/>
      <c r="X764" s="2"/>
      <c r="Y764" s="2"/>
      <c r="Z764" s="2"/>
      <c r="AA764" s="2"/>
      <c r="AB764" s="2"/>
      <c r="AC764" s="2"/>
      <c r="AD764" s="2"/>
      <c r="AE764" s="2"/>
      <c r="AF764" s="2"/>
      <c r="AG764" s="2"/>
      <c r="AH764" s="2"/>
      <c r="AI764" s="2"/>
      <c r="AJ764" s="2"/>
      <c r="AK764" s="2"/>
    </row>
    <row r="765" spans="2:37">
      <c r="C765" s="2"/>
      <c r="D765" s="159"/>
      <c r="E765" s="2"/>
      <c r="F765" s="159"/>
      <c r="G765" s="201"/>
      <c r="H765" s="2"/>
      <c r="I765" s="159"/>
      <c r="J765" s="201"/>
      <c r="K765" s="2"/>
      <c r="L765" s="2"/>
      <c r="M765" s="2"/>
      <c r="N765" s="2"/>
      <c r="O765" s="2"/>
      <c r="P765" s="2"/>
      <c r="Q765" s="2"/>
      <c r="R765" s="2"/>
      <c r="S765" s="2"/>
      <c r="T765" s="2"/>
      <c r="U765" s="2"/>
      <c r="V765" s="2"/>
      <c r="W765" s="2"/>
      <c r="X765" s="2"/>
      <c r="Y765" s="2"/>
      <c r="Z765" s="2"/>
      <c r="AA765" s="2"/>
      <c r="AB765" s="2"/>
      <c r="AC765" s="2"/>
      <c r="AD765" s="2"/>
      <c r="AE765" s="2"/>
      <c r="AF765" s="2"/>
      <c r="AG765" s="2"/>
      <c r="AH765" s="2"/>
      <c r="AI765" s="2"/>
      <c r="AJ765" s="2"/>
      <c r="AK765" s="2"/>
    </row>
    <row r="766" spans="2:37" ht="18">
      <c r="B766" s="316" t="s">
        <v>79</v>
      </c>
      <c r="C766" s="143"/>
      <c r="D766" s="143"/>
      <c r="E766" s="143"/>
      <c r="F766" s="144"/>
      <c r="G766" s="144"/>
      <c r="H766" s="144"/>
      <c r="I766" s="143"/>
      <c r="J766" s="143"/>
      <c r="K766" s="143"/>
      <c r="L766" s="143"/>
      <c r="M766" s="2"/>
      <c r="N766" s="2"/>
      <c r="O766" s="2"/>
      <c r="P766" s="2"/>
      <c r="Q766" s="2"/>
      <c r="R766" s="2"/>
      <c r="S766" s="2"/>
      <c r="T766" s="2"/>
      <c r="U766" s="2"/>
      <c r="V766" s="2"/>
      <c r="W766" s="2"/>
      <c r="X766" s="2"/>
      <c r="Y766" s="2"/>
      <c r="Z766" s="2"/>
      <c r="AA766" s="2"/>
      <c r="AB766" s="2"/>
      <c r="AC766" s="2"/>
      <c r="AD766" s="2"/>
      <c r="AE766" s="2"/>
      <c r="AF766" s="2"/>
      <c r="AG766" s="2"/>
      <c r="AH766" s="2"/>
      <c r="AI766" s="2"/>
      <c r="AJ766" s="2"/>
      <c r="AK766" s="2"/>
    </row>
    <row r="767" spans="2:37">
      <c r="B767" s="2"/>
      <c r="C767" s="386" t="s">
        <v>1</v>
      </c>
      <c r="D767" s="379"/>
      <c r="E767" s="4"/>
      <c r="F767" s="379"/>
      <c r="G767" s="380"/>
      <c r="H767" s="4"/>
      <c r="I767" s="317"/>
      <c r="J767" s="380"/>
      <c r="K767" s="2"/>
      <c r="L767" s="2"/>
      <c r="M767" s="2"/>
      <c r="N767" s="2"/>
      <c r="O767" s="2"/>
      <c r="P767" s="2"/>
      <c r="Q767" s="2"/>
      <c r="R767" s="2"/>
      <c r="S767" s="2"/>
      <c r="T767" s="2"/>
      <c r="U767" s="2"/>
      <c r="V767" s="2"/>
      <c r="W767" s="2"/>
      <c r="X767" s="2"/>
      <c r="Y767" s="2"/>
      <c r="Z767" s="2"/>
      <c r="AA767" s="2"/>
      <c r="AB767" s="2"/>
      <c r="AC767" s="2"/>
      <c r="AD767" s="2"/>
      <c r="AE767" s="2"/>
      <c r="AF767" s="2"/>
      <c r="AG767" s="2"/>
      <c r="AH767" s="2"/>
      <c r="AI767" s="2"/>
      <c r="AJ767" s="2"/>
      <c r="AK767" s="2"/>
    </row>
    <row r="768" spans="2:37">
      <c r="B768" s="2"/>
      <c r="C768" s="145"/>
      <c r="D768" s="381" t="str">
        <f>D4</f>
        <v>2023-2024</v>
      </c>
      <c r="E768" s="43"/>
      <c r="F768" s="740" t="str">
        <f>F4</f>
        <v>2024-2025</v>
      </c>
      <c r="G768" s="741"/>
      <c r="H768" s="319" t="s">
        <v>2</v>
      </c>
      <c r="J768" s="740" t="str">
        <f>I4</f>
        <v>2025-2026</v>
      </c>
      <c r="K768" s="741"/>
      <c r="L768" s="387" t="s">
        <v>2</v>
      </c>
      <c r="M768" s="2"/>
      <c r="N768" s="2"/>
      <c r="O768" s="2"/>
      <c r="P768" s="2"/>
      <c r="Q768" s="2"/>
      <c r="R768" s="2"/>
      <c r="S768" s="2"/>
      <c r="T768" s="2"/>
      <c r="U768" s="2"/>
      <c r="V768" s="2"/>
      <c r="W768" s="2"/>
      <c r="X768" s="2"/>
      <c r="Y768" s="2"/>
      <c r="Z768" s="2"/>
      <c r="AA768" s="2"/>
      <c r="AB768" s="2"/>
      <c r="AC768" s="2"/>
      <c r="AD768" s="2"/>
      <c r="AE768" s="2"/>
      <c r="AF768" s="2"/>
      <c r="AG768" s="2"/>
      <c r="AH768" s="2"/>
      <c r="AI768" s="2"/>
      <c r="AJ768" s="2"/>
      <c r="AK768" s="2"/>
    </row>
    <row r="769" spans="2:37">
      <c r="B769" s="2"/>
      <c r="C769" s="220" t="s">
        <v>4</v>
      </c>
      <c r="D769" s="323" t="s">
        <v>5</v>
      </c>
      <c r="E769" s="43"/>
      <c r="F769" s="736" t="s">
        <v>5</v>
      </c>
      <c r="G769" s="737"/>
      <c r="H769" s="322" t="s">
        <v>144</v>
      </c>
      <c r="J769" s="736" t="s">
        <v>6</v>
      </c>
      <c r="K769" s="737"/>
      <c r="L769" s="388" t="s">
        <v>144</v>
      </c>
      <c r="M769" s="2"/>
      <c r="N769" s="2"/>
      <c r="O769" s="2"/>
      <c r="P769" s="2"/>
      <c r="Q769" s="2"/>
      <c r="R769" s="2"/>
      <c r="S769" s="2"/>
      <c r="T769" s="2"/>
      <c r="U769" s="2"/>
      <c r="V769" s="2"/>
      <c r="W769" s="2"/>
      <c r="X769" s="2"/>
      <c r="Y769" s="2"/>
      <c r="Z769" s="2"/>
      <c r="AA769" s="2"/>
      <c r="AB769" s="2"/>
      <c r="AC769" s="2"/>
      <c r="AD769" s="2"/>
      <c r="AE769" s="2"/>
      <c r="AF769" s="2"/>
      <c r="AG769" s="2"/>
      <c r="AH769" s="2"/>
      <c r="AI769" s="2"/>
      <c r="AJ769" s="2"/>
      <c r="AK769" s="2"/>
    </row>
    <row r="770" spans="2:37">
      <c r="B770" s="324" t="s">
        <v>34</v>
      </c>
      <c r="C770" s="325"/>
      <c r="D770" s="326">
        <f>SUM([1]C06!$C$199:$C$247)</f>
        <v>14681</v>
      </c>
      <c r="E770" s="327"/>
      <c r="F770" s="746">
        <f>SUM([1]C06!$D$199:$D$247)</f>
        <v>7803</v>
      </c>
      <c r="G770" s="745"/>
      <c r="H770" s="328">
        <f t="shared" ref="H770:H808" si="84">IF(D770=0,0,((F770-D770)/D770))</f>
        <v>-0.47</v>
      </c>
      <c r="J770" s="746">
        <f>SUM([1]C06!$E$199:$E$247)</f>
        <v>25500</v>
      </c>
      <c r="K770" s="745"/>
      <c r="L770" s="328">
        <f t="shared" ref="L770:L791" si="85">IF(F770=0,0,((J770-F770)/F770))</f>
        <v>2.27</v>
      </c>
      <c r="M770" s="2"/>
      <c r="N770" s="2"/>
      <c r="O770" s="2"/>
      <c r="P770" s="2"/>
      <c r="Q770" s="2"/>
      <c r="R770" s="2"/>
      <c r="S770" s="2"/>
      <c r="T770" s="2"/>
      <c r="U770" s="2"/>
      <c r="V770" s="2"/>
      <c r="W770" s="2"/>
      <c r="X770" s="2"/>
      <c r="Y770" s="2"/>
      <c r="Z770" s="2"/>
      <c r="AA770" s="2"/>
      <c r="AB770" s="2"/>
      <c r="AC770" s="2"/>
      <c r="AD770" s="2"/>
      <c r="AE770" s="2"/>
      <c r="AF770" s="2"/>
      <c r="AG770" s="2"/>
      <c r="AH770" s="2"/>
      <c r="AI770" s="2"/>
      <c r="AJ770" s="2"/>
      <c r="AK770" s="2"/>
    </row>
    <row r="771" spans="2:37">
      <c r="B771" s="44" t="s">
        <v>36</v>
      </c>
      <c r="C771" s="44"/>
      <c r="D771" s="329">
        <f>SUM([1]C07!$C$173:$C$185)</f>
        <v>0</v>
      </c>
      <c r="E771" s="327"/>
      <c r="F771" s="671">
        <f>SUM([1]C07!$D$173:$D$185)</f>
        <v>0</v>
      </c>
      <c r="G771" s="653"/>
      <c r="H771" s="330">
        <f t="shared" si="84"/>
        <v>0</v>
      </c>
      <c r="J771" s="671">
        <f>SUM([1]C07!$E$173:$E$185)</f>
        <v>0</v>
      </c>
      <c r="K771" s="653"/>
      <c r="L771" s="330">
        <f t="shared" si="85"/>
        <v>0</v>
      </c>
      <c r="M771" s="2"/>
      <c r="N771" s="2"/>
      <c r="O771" s="2"/>
      <c r="P771" s="2"/>
      <c r="Q771" s="2"/>
      <c r="R771" s="2"/>
      <c r="S771" s="2"/>
      <c r="T771" s="2"/>
      <c r="U771" s="2"/>
      <c r="V771" s="2"/>
      <c r="W771" s="2"/>
      <c r="X771" s="2"/>
      <c r="Y771" s="2"/>
      <c r="Z771" s="2"/>
      <c r="AA771" s="2"/>
      <c r="AB771" s="2"/>
      <c r="AC771" s="2"/>
      <c r="AD771" s="2"/>
      <c r="AE771" s="2"/>
      <c r="AF771" s="2"/>
      <c r="AG771" s="2"/>
      <c r="AH771" s="2"/>
      <c r="AI771" s="2"/>
      <c r="AJ771" s="2"/>
      <c r="AK771" s="2"/>
    </row>
    <row r="772" spans="2:37">
      <c r="B772" s="324" t="s">
        <v>35</v>
      </c>
      <c r="C772" s="324"/>
      <c r="D772" s="331">
        <f>SUM([1]C08!$C$204:$C$252)</f>
        <v>37624</v>
      </c>
      <c r="E772" s="327"/>
      <c r="F772" s="656">
        <f>SUM([1]C08!$D$204:$D$252)</f>
        <v>48200</v>
      </c>
      <c r="G772" s="655"/>
      <c r="H772" s="332">
        <f t="shared" si="84"/>
        <v>0.28000000000000003</v>
      </c>
      <c r="J772" s="656">
        <f>SUM([1]C08!$E$204:$E$252)</f>
        <v>44099</v>
      </c>
      <c r="K772" s="655"/>
      <c r="L772" s="332">
        <f t="shared" si="85"/>
        <v>-0.09</v>
      </c>
      <c r="M772" s="2"/>
      <c r="N772" s="2"/>
      <c r="O772" s="2"/>
      <c r="P772" s="2"/>
      <c r="Q772" s="2"/>
      <c r="R772" s="2"/>
      <c r="S772" s="2"/>
      <c r="T772" s="2"/>
      <c r="U772" s="2"/>
      <c r="V772" s="2"/>
      <c r="W772" s="2"/>
      <c r="X772" s="2"/>
      <c r="Y772" s="2"/>
      <c r="Z772" s="2"/>
      <c r="AA772" s="2"/>
      <c r="AB772" s="2"/>
      <c r="AC772" s="2"/>
      <c r="AD772" s="2"/>
      <c r="AE772" s="2"/>
      <c r="AF772" s="2"/>
      <c r="AG772" s="2"/>
      <c r="AH772" s="2"/>
      <c r="AI772" s="2"/>
      <c r="AJ772" s="2"/>
      <c r="AK772" s="2"/>
    </row>
    <row r="773" spans="2:37">
      <c r="B773" s="1" t="s">
        <v>140</v>
      </c>
      <c r="C773" s="333"/>
      <c r="D773" s="334">
        <f>SUM([1]C011!$C$149:$C$151)</f>
        <v>0</v>
      </c>
      <c r="E773" s="327"/>
      <c r="F773" s="671">
        <f>SUM([1]C011!$D$149:$D$151)</f>
        <v>0</v>
      </c>
      <c r="G773" s="653"/>
      <c r="H773" s="330">
        <f t="shared" si="84"/>
        <v>0</v>
      </c>
      <c r="J773" s="672">
        <f>SUM([1]C011!$E$149:$E$151)</f>
        <v>0</v>
      </c>
      <c r="K773" s="673"/>
      <c r="L773" s="330">
        <f t="shared" si="85"/>
        <v>0</v>
      </c>
      <c r="M773" s="2"/>
      <c r="N773" s="2"/>
      <c r="O773" s="2"/>
      <c r="P773" s="2"/>
      <c r="Q773" s="2"/>
      <c r="R773" s="2"/>
      <c r="S773" s="2"/>
      <c r="T773" s="2"/>
      <c r="U773" s="2"/>
      <c r="V773" s="2"/>
      <c r="W773" s="2"/>
      <c r="X773" s="2"/>
      <c r="Y773" s="2"/>
      <c r="Z773" s="2"/>
      <c r="AA773" s="2"/>
      <c r="AB773" s="2"/>
      <c r="AC773" s="2"/>
      <c r="AD773" s="2"/>
      <c r="AE773" s="2"/>
      <c r="AF773" s="2"/>
      <c r="AG773" s="2"/>
      <c r="AH773" s="2"/>
      <c r="AI773" s="2"/>
      <c r="AJ773" s="2"/>
      <c r="AK773" s="2"/>
    </row>
    <row r="774" spans="2:37">
      <c r="B774" s="324" t="s">
        <v>277</v>
      </c>
      <c r="C774" s="335"/>
      <c r="D774" s="331">
        <f>SUM([1]C013!$C$149:$C$152)</f>
        <v>0</v>
      </c>
      <c r="E774" s="327"/>
      <c r="F774" s="656">
        <f>SUM([1]C013!$D$149:$D$152)</f>
        <v>0</v>
      </c>
      <c r="G774" s="655"/>
      <c r="H774" s="332">
        <f t="shared" si="84"/>
        <v>0</v>
      </c>
      <c r="J774" s="674">
        <f>SUM([1]C013!$E$149:$E$152)</f>
        <v>0</v>
      </c>
      <c r="K774" s="675"/>
      <c r="L774" s="332">
        <f t="shared" si="85"/>
        <v>0</v>
      </c>
      <c r="M774" s="2"/>
      <c r="N774" s="2"/>
      <c r="O774" s="2"/>
      <c r="P774" s="2"/>
      <c r="Q774" s="2"/>
      <c r="R774" s="2"/>
      <c r="S774" s="2"/>
      <c r="T774" s="2"/>
      <c r="U774" s="2"/>
      <c r="V774" s="2"/>
      <c r="W774" s="2"/>
      <c r="X774" s="2"/>
      <c r="Y774" s="2"/>
      <c r="Z774" s="2"/>
      <c r="AA774" s="2"/>
      <c r="AB774" s="2"/>
      <c r="AC774" s="2"/>
      <c r="AD774" s="2"/>
      <c r="AE774" s="2"/>
      <c r="AF774" s="2"/>
      <c r="AG774" s="2"/>
      <c r="AH774" s="2"/>
      <c r="AI774" s="2"/>
      <c r="AJ774" s="2"/>
      <c r="AK774" s="2"/>
    </row>
    <row r="775" spans="2:37">
      <c r="B775" s="1" t="s">
        <v>39</v>
      </c>
      <c r="C775" s="1"/>
      <c r="D775" s="334">
        <f>SUM([1]C014!$C$145:$C$147)</f>
        <v>0</v>
      </c>
      <c r="E775" s="327"/>
      <c r="F775" s="671">
        <f>SUM([1]C014!$D$145:$D$147)</f>
        <v>0</v>
      </c>
      <c r="G775" s="653"/>
      <c r="H775" s="330">
        <f t="shared" si="84"/>
        <v>0</v>
      </c>
      <c r="J775" s="671">
        <f>SUM([1]C014!$E$145:$E$147)</f>
        <v>0</v>
      </c>
      <c r="K775" s="653"/>
      <c r="L775" s="330">
        <f t="shared" si="85"/>
        <v>0</v>
      </c>
      <c r="M775" s="2"/>
      <c r="N775" s="2"/>
      <c r="O775" s="2"/>
      <c r="P775" s="2"/>
      <c r="Q775" s="2"/>
      <c r="R775" s="2"/>
      <c r="S775" s="2"/>
      <c r="T775" s="2"/>
      <c r="U775" s="2"/>
      <c r="V775" s="2"/>
      <c r="W775" s="2"/>
      <c r="X775" s="2"/>
      <c r="Y775" s="2"/>
      <c r="Z775" s="2"/>
      <c r="AA775" s="2"/>
      <c r="AB775" s="2"/>
      <c r="AC775" s="2"/>
      <c r="AD775" s="2"/>
      <c r="AE775" s="2"/>
      <c r="AF775" s="2"/>
      <c r="AG775" s="2"/>
      <c r="AH775" s="2"/>
      <c r="AI775" s="2"/>
      <c r="AJ775" s="2"/>
      <c r="AK775" s="2"/>
    </row>
    <row r="776" spans="2:37">
      <c r="B776" s="324" t="s">
        <v>40</v>
      </c>
      <c r="C776" s="324"/>
      <c r="D776" s="339">
        <v>0</v>
      </c>
      <c r="E776" s="327"/>
      <c r="F776" s="654">
        <v>0</v>
      </c>
      <c r="G776" s="655"/>
      <c r="H776" s="332">
        <f t="shared" si="84"/>
        <v>0</v>
      </c>
      <c r="J776" s="654">
        <v>0</v>
      </c>
      <c r="K776" s="655"/>
      <c r="L776" s="332">
        <f t="shared" si="85"/>
        <v>0</v>
      </c>
      <c r="M776" s="2"/>
      <c r="N776" s="2"/>
      <c r="O776" s="2"/>
      <c r="P776" s="2"/>
      <c r="Q776" s="2"/>
      <c r="R776" s="2"/>
      <c r="S776" s="2"/>
      <c r="T776" s="2"/>
      <c r="U776" s="2"/>
      <c r="V776" s="2"/>
      <c r="W776" s="2"/>
      <c r="X776" s="2"/>
      <c r="Y776" s="2"/>
      <c r="Z776" s="2"/>
      <c r="AA776" s="2"/>
      <c r="AB776" s="2"/>
      <c r="AC776" s="2"/>
      <c r="AD776" s="2"/>
      <c r="AE776" s="2"/>
      <c r="AF776" s="2"/>
      <c r="AG776" s="2"/>
      <c r="AH776" s="2"/>
      <c r="AI776" s="2"/>
      <c r="AJ776" s="2"/>
      <c r="AK776" s="2"/>
    </row>
    <row r="777" spans="2:37">
      <c r="B777" s="1" t="s">
        <v>41</v>
      </c>
      <c r="C777" s="1"/>
      <c r="D777" s="334">
        <f>SUM([1]C016!$C$105:$C$120)</f>
        <v>0</v>
      </c>
      <c r="E777" s="327"/>
      <c r="F777" s="671">
        <f>SUM([1]C016!$D$105:$D$120)</f>
        <v>0</v>
      </c>
      <c r="G777" s="653"/>
      <c r="H777" s="330">
        <f t="shared" si="84"/>
        <v>0</v>
      </c>
      <c r="J777" s="671">
        <f>SUM([1]C016!$E$105:$E$120)</f>
        <v>120408</v>
      </c>
      <c r="K777" s="653"/>
      <c r="L777" s="330">
        <f t="shared" si="85"/>
        <v>0</v>
      </c>
      <c r="M777" s="2"/>
      <c r="N777" s="2"/>
      <c r="O777" s="2"/>
      <c r="P777" s="2"/>
      <c r="Q777" s="2"/>
      <c r="R777" s="2"/>
      <c r="S777" s="2"/>
      <c r="T777" s="2"/>
      <c r="U777" s="2"/>
      <c r="V777" s="2"/>
      <c r="W777" s="2"/>
      <c r="X777" s="2"/>
      <c r="Y777" s="2"/>
      <c r="Z777" s="2"/>
      <c r="AA777" s="2"/>
      <c r="AB777" s="2"/>
      <c r="AC777" s="2"/>
      <c r="AD777" s="2"/>
      <c r="AE777" s="2"/>
      <c r="AF777" s="2"/>
      <c r="AG777" s="2"/>
      <c r="AH777" s="2"/>
      <c r="AI777" s="2"/>
      <c r="AJ777" s="2"/>
      <c r="AK777" s="2"/>
    </row>
    <row r="778" spans="2:37">
      <c r="B778" s="324" t="s">
        <v>70</v>
      </c>
      <c r="C778" s="324"/>
      <c r="D778" s="339">
        <v>0</v>
      </c>
      <c r="E778" s="327"/>
      <c r="F778" s="654">
        <v>0</v>
      </c>
      <c r="G778" s="655"/>
      <c r="H778" s="332">
        <f t="shared" si="84"/>
        <v>0</v>
      </c>
      <c r="J778" s="654">
        <v>0</v>
      </c>
      <c r="K778" s="655"/>
      <c r="L778" s="332">
        <f t="shared" si="85"/>
        <v>0</v>
      </c>
      <c r="M778" s="2"/>
      <c r="N778" s="2"/>
      <c r="O778" s="2"/>
      <c r="P778" s="2"/>
      <c r="Q778" s="2"/>
      <c r="R778" s="2"/>
      <c r="S778" s="2"/>
      <c r="T778" s="2"/>
      <c r="U778" s="2"/>
      <c r="V778" s="2"/>
      <c r="W778" s="2"/>
      <c r="X778" s="2"/>
      <c r="Y778" s="2"/>
      <c r="Z778" s="2"/>
      <c r="AA778" s="2"/>
      <c r="AB778" s="2"/>
      <c r="AC778" s="2"/>
      <c r="AD778" s="2"/>
      <c r="AE778" s="2"/>
      <c r="AF778" s="2"/>
      <c r="AG778" s="2"/>
      <c r="AH778" s="2"/>
      <c r="AI778" s="2"/>
      <c r="AJ778" s="2"/>
      <c r="AK778" s="2"/>
    </row>
    <row r="779" spans="2:37">
      <c r="B779" s="1" t="s">
        <v>43</v>
      </c>
      <c r="C779" s="1"/>
      <c r="D779" s="336">
        <v>0</v>
      </c>
      <c r="E779" s="327"/>
      <c r="F779" s="652">
        <v>0</v>
      </c>
      <c r="G779" s="653"/>
      <c r="H779" s="330">
        <f t="shared" si="84"/>
        <v>0</v>
      </c>
      <c r="J779" s="652">
        <v>0</v>
      </c>
      <c r="K779" s="653"/>
      <c r="L779" s="330">
        <f t="shared" si="85"/>
        <v>0</v>
      </c>
      <c r="M779" s="2"/>
      <c r="N779" s="2"/>
      <c r="O779" s="2"/>
      <c r="P779" s="2"/>
      <c r="Q779" s="2"/>
      <c r="R779" s="2"/>
      <c r="S779" s="2"/>
      <c r="T779" s="2"/>
      <c r="U779" s="2"/>
      <c r="V779" s="2"/>
      <c r="W779" s="2"/>
      <c r="X779" s="2"/>
      <c r="Y779" s="2"/>
      <c r="Z779" s="2"/>
      <c r="AA779" s="2"/>
      <c r="AB779" s="2"/>
      <c r="AC779" s="2"/>
      <c r="AD779" s="2"/>
      <c r="AE779" s="2"/>
      <c r="AF779" s="2"/>
      <c r="AG779" s="2"/>
      <c r="AH779" s="2"/>
      <c r="AI779" s="2"/>
      <c r="AJ779" s="2"/>
      <c r="AK779" s="2"/>
    </row>
    <row r="780" spans="2:37">
      <c r="B780" s="324" t="s">
        <v>44</v>
      </c>
      <c r="C780" s="324"/>
      <c r="D780" s="339">
        <v>0</v>
      </c>
      <c r="E780" s="327"/>
      <c r="F780" s="654">
        <v>0</v>
      </c>
      <c r="G780" s="655"/>
      <c r="H780" s="332">
        <f t="shared" si="84"/>
        <v>0</v>
      </c>
      <c r="J780" s="654">
        <v>0</v>
      </c>
      <c r="K780" s="655"/>
      <c r="L780" s="332">
        <f t="shared" si="85"/>
        <v>0</v>
      </c>
      <c r="M780" s="2"/>
      <c r="N780" s="2"/>
      <c r="O780" s="2"/>
      <c r="P780" s="2"/>
      <c r="Q780" s="2"/>
      <c r="R780" s="2"/>
      <c r="S780" s="2"/>
      <c r="T780" s="2"/>
      <c r="U780" s="2"/>
      <c r="V780" s="2"/>
      <c r="W780" s="2"/>
      <c r="X780" s="2"/>
      <c r="Y780" s="2"/>
      <c r="Z780" s="2"/>
      <c r="AA780" s="2"/>
      <c r="AB780" s="2"/>
      <c r="AC780" s="2"/>
      <c r="AD780" s="2"/>
      <c r="AE780" s="2"/>
      <c r="AF780" s="2"/>
      <c r="AG780" s="2"/>
      <c r="AH780" s="2"/>
      <c r="AI780" s="2"/>
      <c r="AJ780" s="2"/>
      <c r="AK780" s="2"/>
    </row>
    <row r="781" spans="2:37">
      <c r="B781" s="1" t="s">
        <v>45</v>
      </c>
      <c r="C781" s="337"/>
      <c r="D781" s="336">
        <v>0</v>
      </c>
      <c r="E781" s="327"/>
      <c r="F781" s="652">
        <v>0</v>
      </c>
      <c r="G781" s="653"/>
      <c r="H781" s="330">
        <f t="shared" si="84"/>
        <v>0</v>
      </c>
      <c r="J781" s="652">
        <v>0</v>
      </c>
      <c r="K781" s="653"/>
      <c r="L781" s="330">
        <f t="shared" si="85"/>
        <v>0</v>
      </c>
      <c r="M781" s="2"/>
      <c r="N781" s="2"/>
      <c r="O781" s="2"/>
      <c r="P781" s="2"/>
      <c r="Q781" s="2"/>
      <c r="R781" s="2"/>
      <c r="S781" s="2"/>
      <c r="T781" s="2"/>
      <c r="U781" s="2"/>
      <c r="V781" s="2"/>
      <c r="W781" s="2"/>
      <c r="X781" s="2"/>
      <c r="Y781" s="2"/>
      <c r="Z781" s="2"/>
      <c r="AA781" s="2"/>
      <c r="AB781" s="2"/>
      <c r="AC781" s="2"/>
      <c r="AD781" s="2"/>
      <c r="AE781" s="2"/>
      <c r="AF781" s="2"/>
      <c r="AG781" s="2"/>
      <c r="AH781" s="2"/>
      <c r="AI781" s="2"/>
      <c r="AJ781" s="2"/>
      <c r="AK781" s="2"/>
    </row>
    <row r="782" spans="2:37">
      <c r="B782" s="324" t="s">
        <v>46</v>
      </c>
      <c r="C782" s="338">
        <v>26</v>
      </c>
      <c r="D782" s="339">
        <v>0</v>
      </c>
      <c r="E782" s="327"/>
      <c r="F782" s="654">
        <v>0</v>
      </c>
      <c r="G782" s="655"/>
      <c r="H782" s="332">
        <f t="shared" si="84"/>
        <v>0</v>
      </c>
      <c r="J782" s="654">
        <v>0</v>
      </c>
      <c r="K782" s="655"/>
      <c r="L782" s="332">
        <f t="shared" si="85"/>
        <v>0</v>
      </c>
      <c r="M782" s="2"/>
      <c r="N782" s="2"/>
      <c r="O782" s="2"/>
      <c r="P782" s="2"/>
      <c r="Q782" s="2"/>
      <c r="R782" s="2"/>
      <c r="S782" s="2"/>
      <c r="T782" s="2"/>
      <c r="U782" s="2"/>
      <c r="V782" s="2"/>
      <c r="W782" s="2"/>
      <c r="X782" s="2"/>
      <c r="Y782" s="2"/>
      <c r="Z782" s="2"/>
      <c r="AA782" s="2"/>
      <c r="AB782" s="2"/>
      <c r="AC782" s="2"/>
      <c r="AD782" s="2"/>
      <c r="AE782" s="2"/>
      <c r="AF782" s="2"/>
      <c r="AG782" s="2"/>
      <c r="AH782" s="2"/>
      <c r="AI782" s="2"/>
      <c r="AJ782" s="2"/>
      <c r="AK782" s="2"/>
    </row>
    <row r="783" spans="2:37">
      <c r="B783" s="1" t="s">
        <v>47</v>
      </c>
      <c r="C783" s="337">
        <v>28</v>
      </c>
      <c r="D783" s="336">
        <v>0</v>
      </c>
      <c r="E783" s="327"/>
      <c r="F783" s="652">
        <v>0</v>
      </c>
      <c r="G783" s="653"/>
      <c r="H783" s="330">
        <f t="shared" si="84"/>
        <v>0</v>
      </c>
      <c r="J783" s="652">
        <v>0</v>
      </c>
      <c r="K783" s="653"/>
      <c r="L783" s="330">
        <f t="shared" si="85"/>
        <v>0</v>
      </c>
      <c r="M783" s="2"/>
      <c r="N783" s="2"/>
      <c r="O783" s="2"/>
      <c r="P783" s="2"/>
      <c r="Q783" s="2"/>
      <c r="R783" s="2"/>
      <c r="S783" s="2"/>
      <c r="T783" s="2"/>
      <c r="U783" s="2"/>
      <c r="V783" s="2"/>
      <c r="W783" s="2"/>
      <c r="X783" s="2"/>
      <c r="Y783" s="2"/>
      <c r="Z783" s="2"/>
      <c r="AA783" s="2"/>
      <c r="AB783" s="2"/>
      <c r="AC783" s="2"/>
      <c r="AD783" s="2"/>
      <c r="AE783" s="2"/>
      <c r="AF783" s="2"/>
      <c r="AG783" s="2"/>
      <c r="AH783" s="2"/>
      <c r="AI783" s="2"/>
      <c r="AJ783" s="2"/>
      <c r="AK783" s="2"/>
    </row>
    <row r="784" spans="2:37">
      <c r="B784" s="324" t="s">
        <v>48</v>
      </c>
      <c r="C784" s="338"/>
      <c r="D784" s="339">
        <v>0</v>
      </c>
      <c r="E784" s="327"/>
      <c r="F784" s="654">
        <v>0</v>
      </c>
      <c r="G784" s="655"/>
      <c r="H784" s="332">
        <f t="shared" si="84"/>
        <v>0</v>
      </c>
      <c r="J784" s="654">
        <v>0</v>
      </c>
      <c r="K784" s="655"/>
      <c r="L784" s="332">
        <f t="shared" si="85"/>
        <v>0</v>
      </c>
      <c r="M784" s="2"/>
      <c r="N784" s="2"/>
      <c r="O784" s="2"/>
      <c r="P784" s="2"/>
      <c r="Q784" s="2"/>
      <c r="R784" s="2"/>
      <c r="S784" s="2"/>
      <c r="T784" s="2"/>
      <c r="U784" s="2"/>
      <c r="V784" s="2"/>
      <c r="W784" s="2"/>
      <c r="X784" s="2"/>
      <c r="Y784" s="2"/>
      <c r="Z784" s="2"/>
      <c r="AA784" s="2"/>
      <c r="AB784" s="2"/>
      <c r="AC784" s="2"/>
      <c r="AD784" s="2"/>
      <c r="AE784" s="2"/>
      <c r="AF784" s="2"/>
      <c r="AG784" s="2"/>
      <c r="AH784" s="2"/>
      <c r="AI784" s="2"/>
      <c r="AJ784" s="2"/>
      <c r="AK784" s="2"/>
    </row>
    <row r="785" spans="2:37">
      <c r="B785" s="1" t="s">
        <v>37</v>
      </c>
      <c r="C785" s="337"/>
      <c r="D785" s="334">
        <f>SUM([1]C030!$C$171:$C$224)</f>
        <v>0</v>
      </c>
      <c r="E785" s="327"/>
      <c r="F785" s="671">
        <f>SUM([1]C030!$D$171:$D$224)</f>
        <v>0</v>
      </c>
      <c r="G785" s="653"/>
      <c r="H785" s="330">
        <f t="shared" si="84"/>
        <v>0</v>
      </c>
      <c r="J785" s="671">
        <f>SUM([1]C030!$E$171:$E$224)</f>
        <v>0</v>
      </c>
      <c r="K785" s="653"/>
      <c r="L785" s="330">
        <f t="shared" si="85"/>
        <v>0</v>
      </c>
      <c r="M785" s="2"/>
      <c r="N785" s="2"/>
      <c r="O785" s="2"/>
      <c r="P785" s="2"/>
      <c r="Q785" s="2"/>
      <c r="R785" s="2"/>
      <c r="S785" s="2"/>
      <c r="T785" s="2"/>
      <c r="U785" s="2"/>
      <c r="V785" s="2"/>
      <c r="W785" s="2"/>
      <c r="X785" s="2"/>
      <c r="Y785" s="2"/>
      <c r="Z785" s="2"/>
      <c r="AA785" s="2"/>
      <c r="AB785" s="2"/>
      <c r="AC785" s="2"/>
      <c r="AD785" s="2"/>
      <c r="AE785" s="2"/>
      <c r="AF785" s="2"/>
      <c r="AG785" s="2"/>
      <c r="AH785" s="2"/>
      <c r="AI785" s="2"/>
      <c r="AJ785" s="2"/>
      <c r="AK785" s="2"/>
    </row>
    <row r="786" spans="2:37">
      <c r="B786" s="324" t="s">
        <v>49</v>
      </c>
      <c r="C786" s="338"/>
      <c r="D786" s="339">
        <v>0</v>
      </c>
      <c r="E786" s="327"/>
      <c r="F786" s="654">
        <v>0</v>
      </c>
      <c r="G786" s="655"/>
      <c r="H786" s="332">
        <f t="shared" si="84"/>
        <v>0</v>
      </c>
      <c r="J786" s="654">
        <v>0</v>
      </c>
      <c r="K786" s="655"/>
      <c r="L786" s="332">
        <f t="shared" si="85"/>
        <v>0</v>
      </c>
      <c r="M786" s="2"/>
      <c r="N786" s="2"/>
      <c r="O786" s="2"/>
      <c r="P786" s="2"/>
      <c r="Q786" s="2"/>
      <c r="R786" s="2"/>
      <c r="S786" s="2"/>
      <c r="T786" s="2"/>
      <c r="U786" s="2"/>
      <c r="V786" s="2"/>
      <c r="W786" s="2"/>
      <c r="X786" s="2"/>
      <c r="Y786" s="2"/>
      <c r="Z786" s="2"/>
      <c r="AA786" s="2"/>
      <c r="AB786" s="2"/>
      <c r="AC786" s="2"/>
      <c r="AD786" s="2"/>
      <c r="AE786" s="2"/>
      <c r="AF786" s="2"/>
      <c r="AG786" s="2"/>
      <c r="AH786" s="2"/>
      <c r="AI786" s="2"/>
      <c r="AJ786" s="2"/>
      <c r="AK786" s="2"/>
    </row>
    <row r="787" spans="2:37">
      <c r="B787" s="370" t="str">
        <f>B338</f>
        <v>Career and Postsecondary Ed.</v>
      </c>
      <c r="C787" s="337"/>
      <c r="D787" s="334">
        <f>SUM([1]C034!$C$156:$C$163)</f>
        <v>0</v>
      </c>
      <c r="E787" s="327"/>
      <c r="F787" s="671">
        <f>SUM([1]C034!$D$156:$D$163)</f>
        <v>0</v>
      </c>
      <c r="G787" s="653"/>
      <c r="H787" s="330">
        <f t="shared" si="84"/>
        <v>0</v>
      </c>
      <c r="J787" s="671">
        <f>SUM([1]C034!$E$156:$E$163)</f>
        <v>0</v>
      </c>
      <c r="K787" s="653"/>
      <c r="L787" s="330">
        <f t="shared" si="85"/>
        <v>0</v>
      </c>
      <c r="M787" s="2"/>
      <c r="N787" s="2"/>
      <c r="O787" s="2"/>
      <c r="P787" s="2"/>
      <c r="Q787" s="2"/>
      <c r="R787" s="2"/>
      <c r="S787" s="2"/>
      <c r="T787" s="2"/>
      <c r="U787" s="2"/>
      <c r="V787" s="2"/>
      <c r="W787" s="2"/>
      <c r="X787" s="2"/>
      <c r="Y787" s="2"/>
      <c r="Z787" s="2"/>
      <c r="AA787" s="2"/>
      <c r="AB787" s="2"/>
      <c r="AC787" s="2"/>
      <c r="AD787" s="2"/>
      <c r="AE787" s="2"/>
      <c r="AF787" s="2"/>
      <c r="AG787" s="2"/>
      <c r="AH787" s="2"/>
      <c r="AI787" s="2"/>
      <c r="AJ787" s="2"/>
      <c r="AK787" s="2"/>
    </row>
    <row r="788" spans="2:37" ht="15.75">
      <c r="B788" s="324" t="s">
        <v>178</v>
      </c>
      <c r="C788" s="338"/>
      <c r="D788" s="331">
        <f>SUM([1]C035!$C$184:$C$196)</f>
        <v>0</v>
      </c>
      <c r="E788" s="327"/>
      <c r="F788" s="656">
        <f>SUM([1]C035!$D$184:$D$196)</f>
        <v>0</v>
      </c>
      <c r="G788" s="655"/>
      <c r="H788" s="332">
        <f t="shared" si="84"/>
        <v>0</v>
      </c>
      <c r="J788" s="656">
        <f>SUM([1]C035!$E$184:$E$196)</f>
        <v>0</v>
      </c>
      <c r="K788" s="655"/>
      <c r="L788" s="332">
        <f t="shared" si="85"/>
        <v>0</v>
      </c>
      <c r="M788" s="2"/>
      <c r="N788" s="2"/>
      <c r="O788" s="2"/>
      <c r="P788" s="2"/>
      <c r="Q788" s="2"/>
      <c r="R788" s="2"/>
      <c r="S788" s="2"/>
      <c r="T788" s="2"/>
      <c r="U788" s="2"/>
      <c r="V788" s="2"/>
      <c r="W788" s="2"/>
      <c r="X788" s="2"/>
      <c r="Y788" s="2"/>
      <c r="Z788" s="2"/>
      <c r="AA788" s="2"/>
      <c r="AB788" s="2"/>
      <c r="AC788" s="2"/>
      <c r="AD788" s="2"/>
      <c r="AE788" s="2"/>
      <c r="AF788" s="2"/>
      <c r="AG788" s="2"/>
      <c r="AH788" s="2"/>
      <c r="AI788" s="2"/>
      <c r="AJ788" s="2"/>
      <c r="AK788" s="2"/>
    </row>
    <row r="789" spans="2:37">
      <c r="B789" s="1" t="s">
        <v>71</v>
      </c>
      <c r="C789" s="337">
        <v>42</v>
      </c>
      <c r="D789" s="336">
        <v>0</v>
      </c>
      <c r="E789" s="327"/>
      <c r="F789" s="652">
        <v>0</v>
      </c>
      <c r="G789" s="653"/>
      <c r="H789" s="330">
        <f t="shared" si="84"/>
        <v>0</v>
      </c>
      <c r="J789" s="652">
        <v>0</v>
      </c>
      <c r="K789" s="653"/>
      <c r="L789" s="330">
        <f t="shared" si="85"/>
        <v>0</v>
      </c>
      <c r="M789" s="2"/>
      <c r="N789" s="2"/>
      <c r="O789" s="2"/>
      <c r="P789" s="2"/>
      <c r="Q789" s="2"/>
      <c r="R789" s="2"/>
      <c r="S789" s="2"/>
      <c r="T789" s="2"/>
      <c r="U789" s="2"/>
      <c r="V789" s="2"/>
      <c r="W789" s="2"/>
      <c r="X789" s="2"/>
      <c r="Y789" s="2"/>
      <c r="Z789" s="2"/>
      <c r="AA789" s="2"/>
      <c r="AB789" s="2"/>
      <c r="AC789" s="2"/>
      <c r="AD789" s="2"/>
      <c r="AE789" s="2"/>
      <c r="AF789" s="2"/>
      <c r="AG789" s="2"/>
      <c r="AH789" s="2"/>
      <c r="AI789" s="2"/>
      <c r="AJ789" s="2"/>
      <c r="AK789" s="2"/>
    </row>
    <row r="790" spans="2:37">
      <c r="B790" s="324" t="s">
        <v>51</v>
      </c>
      <c r="C790" s="338">
        <v>44</v>
      </c>
      <c r="D790" s="339">
        <v>0</v>
      </c>
      <c r="E790" s="327"/>
      <c r="F790" s="654">
        <v>0</v>
      </c>
      <c r="G790" s="655"/>
      <c r="H790" s="332">
        <f t="shared" si="84"/>
        <v>0</v>
      </c>
      <c r="J790" s="654">
        <v>0</v>
      </c>
      <c r="K790" s="655"/>
      <c r="L790" s="332">
        <f t="shared" si="85"/>
        <v>0</v>
      </c>
      <c r="M790" s="2"/>
      <c r="N790" s="2"/>
      <c r="O790" s="2"/>
      <c r="P790" s="2"/>
      <c r="Q790" s="2"/>
      <c r="R790" s="2"/>
      <c r="S790" s="2"/>
      <c r="T790" s="2"/>
      <c r="U790" s="2"/>
      <c r="V790" s="2"/>
      <c r="W790" s="2"/>
      <c r="X790" s="2"/>
      <c r="Y790" s="2"/>
      <c r="Z790" s="2"/>
      <c r="AA790" s="2"/>
      <c r="AB790" s="2"/>
      <c r="AC790" s="2"/>
      <c r="AD790" s="2"/>
      <c r="AE790" s="2"/>
      <c r="AF790" s="2"/>
      <c r="AG790" s="2"/>
      <c r="AH790" s="2"/>
      <c r="AI790" s="2"/>
      <c r="AJ790" s="2"/>
      <c r="AK790" s="2"/>
    </row>
    <row r="791" spans="2:37">
      <c r="B791" s="45" t="s">
        <v>52</v>
      </c>
      <c r="C791" s="340">
        <v>45</v>
      </c>
      <c r="D791" s="341">
        <v>0</v>
      </c>
      <c r="E791" s="327"/>
      <c r="F791" s="652">
        <v>0</v>
      </c>
      <c r="G791" s="653"/>
      <c r="H791" s="330">
        <f t="shared" si="84"/>
        <v>0</v>
      </c>
      <c r="J791" s="652">
        <v>0</v>
      </c>
      <c r="K791" s="653"/>
      <c r="L791" s="330">
        <f t="shared" si="85"/>
        <v>0</v>
      </c>
      <c r="M791" s="2"/>
      <c r="N791" s="2"/>
      <c r="O791" s="2"/>
      <c r="P791" s="2"/>
      <c r="Q791" s="2"/>
      <c r="R791" s="2"/>
      <c r="S791" s="2"/>
      <c r="T791" s="2"/>
      <c r="U791" s="2"/>
      <c r="V791" s="2"/>
      <c r="W791" s="2"/>
      <c r="X791" s="2"/>
      <c r="Y791" s="2"/>
      <c r="Z791" s="2"/>
      <c r="AA791" s="2"/>
      <c r="AB791" s="2"/>
      <c r="AC791" s="2"/>
      <c r="AD791" s="2"/>
      <c r="AE791" s="2"/>
      <c r="AF791" s="2"/>
      <c r="AG791" s="2"/>
      <c r="AH791" s="2"/>
      <c r="AI791" s="2"/>
      <c r="AJ791" s="2"/>
      <c r="AK791" s="2"/>
    </row>
    <row r="792" spans="2:37">
      <c r="B792" s="342" t="s">
        <v>72</v>
      </c>
      <c r="C792" s="343">
        <v>46</v>
      </c>
      <c r="D792" s="344">
        <v>0</v>
      </c>
      <c r="E792" s="327"/>
      <c r="F792" s="654">
        <v>0</v>
      </c>
      <c r="G792" s="655"/>
      <c r="H792" s="332">
        <f t="shared" si="84"/>
        <v>0</v>
      </c>
      <c r="J792" s="676"/>
      <c r="K792" s="677"/>
      <c r="L792" s="345"/>
      <c r="M792" s="2"/>
      <c r="N792" s="2"/>
      <c r="O792" s="2"/>
      <c r="P792" s="2"/>
      <c r="Q792" s="2"/>
      <c r="R792" s="2"/>
      <c r="S792" s="2"/>
      <c r="T792" s="2"/>
      <c r="U792" s="2"/>
      <c r="V792" s="2"/>
      <c r="W792" s="2"/>
      <c r="X792" s="2"/>
      <c r="Y792" s="2"/>
      <c r="Z792" s="2"/>
      <c r="AA792" s="2"/>
      <c r="AB792" s="2"/>
      <c r="AC792" s="2"/>
      <c r="AD792" s="2"/>
      <c r="AE792" s="2"/>
      <c r="AF792" s="2"/>
      <c r="AG792" s="2"/>
      <c r="AH792" s="2"/>
      <c r="AI792" s="2"/>
      <c r="AJ792" s="2"/>
      <c r="AK792" s="2"/>
    </row>
    <row r="793" spans="2:37">
      <c r="B793" s="45" t="s">
        <v>54</v>
      </c>
      <c r="C793" s="340"/>
      <c r="D793" s="329">
        <f>[1]C051!$C$33</f>
        <v>2648</v>
      </c>
      <c r="E793" s="327"/>
      <c r="F793" s="671">
        <f>[1]C051!$D$33</f>
        <v>2428</v>
      </c>
      <c r="G793" s="653"/>
      <c r="H793" s="330">
        <f t="shared" si="84"/>
        <v>-0.08</v>
      </c>
      <c r="J793" s="671">
        <f>[1]C051!$E$33</f>
        <v>1500</v>
      </c>
      <c r="K793" s="653"/>
      <c r="L793" s="330">
        <f>IF(F793=0,0,((J793-F793)/F793))</f>
        <v>-0.38</v>
      </c>
      <c r="M793" s="2"/>
      <c r="N793" s="2"/>
      <c r="O793" s="2"/>
      <c r="P793" s="2"/>
      <c r="Q793" s="2"/>
      <c r="R793" s="2"/>
      <c r="S793" s="2"/>
      <c r="T793" s="2"/>
      <c r="U793" s="2"/>
      <c r="V793" s="2"/>
      <c r="W793" s="2"/>
      <c r="X793" s="2"/>
      <c r="Y793" s="2"/>
      <c r="Z793" s="2"/>
      <c r="AA793" s="2"/>
      <c r="AB793" s="2"/>
      <c r="AC793" s="2"/>
      <c r="AD793" s="2"/>
      <c r="AE793" s="2"/>
      <c r="AF793" s="2"/>
      <c r="AG793" s="2"/>
      <c r="AH793" s="2"/>
      <c r="AI793" s="2"/>
      <c r="AJ793" s="2"/>
      <c r="AK793" s="2"/>
    </row>
    <row r="794" spans="2:37">
      <c r="B794" s="342" t="s">
        <v>55</v>
      </c>
      <c r="C794" s="343"/>
      <c r="D794" s="346">
        <f>SUM([1]C053!$C$163:$C$211)</f>
        <v>0</v>
      </c>
      <c r="E794" s="327"/>
      <c r="F794" s="656">
        <f>SUM([1]C053!$D$163:$D$211)</f>
        <v>0</v>
      </c>
      <c r="G794" s="655"/>
      <c r="H794" s="332">
        <f t="shared" si="84"/>
        <v>0</v>
      </c>
      <c r="J794" s="678"/>
      <c r="K794" s="679"/>
      <c r="L794" s="347"/>
      <c r="M794" s="2"/>
      <c r="N794" s="2"/>
      <c r="O794" s="2"/>
      <c r="P794" s="2"/>
      <c r="Q794" s="2"/>
      <c r="R794" s="2"/>
      <c r="S794" s="2"/>
      <c r="T794" s="2"/>
      <c r="U794" s="2"/>
      <c r="V794" s="2"/>
      <c r="W794" s="2"/>
      <c r="X794" s="2"/>
      <c r="Y794" s="2"/>
      <c r="Z794" s="2"/>
      <c r="AA794" s="2"/>
      <c r="AB794" s="2"/>
      <c r="AC794" s="2"/>
      <c r="AD794" s="2"/>
      <c r="AE794" s="2"/>
      <c r="AF794" s="2"/>
      <c r="AG794" s="2"/>
      <c r="AH794" s="2"/>
      <c r="AI794" s="2"/>
      <c r="AJ794" s="2"/>
      <c r="AK794" s="2"/>
    </row>
    <row r="795" spans="2:37">
      <c r="B795" s="45" t="s">
        <v>78</v>
      </c>
      <c r="C795" s="340">
        <v>54</v>
      </c>
      <c r="D795" s="341">
        <v>0</v>
      </c>
      <c r="E795" s="327"/>
      <c r="F795" s="652">
        <v>0</v>
      </c>
      <c r="G795" s="653"/>
      <c r="H795" s="330">
        <f t="shared" si="84"/>
        <v>0</v>
      </c>
      <c r="J795" s="680"/>
      <c r="K795" s="681"/>
      <c r="L795" s="348"/>
      <c r="M795" s="2"/>
      <c r="N795" s="167"/>
      <c r="O795" s="2"/>
      <c r="P795" s="2"/>
      <c r="Q795" s="2"/>
      <c r="R795" s="2"/>
      <c r="S795" s="2"/>
      <c r="T795" s="2"/>
      <c r="U795" s="2"/>
      <c r="V795" s="2"/>
      <c r="W795" s="2"/>
      <c r="X795" s="2"/>
      <c r="Y795" s="2"/>
      <c r="Z795" s="2"/>
      <c r="AA795" s="2"/>
      <c r="AB795" s="2"/>
      <c r="AC795" s="2"/>
      <c r="AD795" s="2"/>
      <c r="AE795" s="2"/>
      <c r="AF795" s="2"/>
      <c r="AG795" s="2"/>
      <c r="AH795" s="2"/>
      <c r="AI795" s="2"/>
      <c r="AJ795" s="2"/>
      <c r="AK795" s="2"/>
    </row>
    <row r="796" spans="2:37" ht="17.25" customHeight="1">
      <c r="B796" s="342" t="s">
        <v>57</v>
      </c>
      <c r="C796" s="343"/>
      <c r="D796" s="346">
        <f>SUM([1]C056!$C$48:$C$55)</f>
        <v>0</v>
      </c>
      <c r="E796" s="327"/>
      <c r="F796" s="656">
        <f>SUM([1]C056!$D$48:$D$55)</f>
        <v>0</v>
      </c>
      <c r="G796" s="655"/>
      <c r="H796" s="332">
        <f t="shared" si="84"/>
        <v>0</v>
      </c>
      <c r="J796" s="682"/>
      <c r="K796" s="683"/>
      <c r="L796" s="349"/>
      <c r="M796" s="2"/>
      <c r="N796" s="2"/>
      <c r="O796" s="2"/>
      <c r="P796" s="2"/>
      <c r="Q796" s="2"/>
      <c r="R796" s="2"/>
      <c r="S796" s="2"/>
      <c r="T796" s="2"/>
      <c r="U796" s="2"/>
      <c r="V796" s="2"/>
      <c r="W796" s="2"/>
      <c r="X796" s="2"/>
      <c r="Y796" s="2"/>
      <c r="Z796" s="2"/>
      <c r="AA796" s="2"/>
      <c r="AB796" s="2"/>
      <c r="AC796" s="2"/>
      <c r="AD796" s="2"/>
      <c r="AE796" s="2"/>
      <c r="AF796" s="2"/>
      <c r="AG796" s="2"/>
      <c r="AH796" s="2"/>
      <c r="AI796" s="2"/>
      <c r="AJ796" s="2"/>
      <c r="AK796" s="2"/>
    </row>
    <row r="797" spans="2:37">
      <c r="B797" s="350" t="str">
        <f>B1118</f>
        <v>Bond and Interest #1</v>
      </c>
      <c r="C797" s="340">
        <v>62</v>
      </c>
      <c r="D797" s="341">
        <v>0</v>
      </c>
      <c r="E797" s="327"/>
      <c r="F797" s="652">
        <v>0</v>
      </c>
      <c r="G797" s="653"/>
      <c r="H797" s="330">
        <f t="shared" si="84"/>
        <v>0</v>
      </c>
      <c r="J797" s="652">
        <v>0</v>
      </c>
      <c r="K797" s="653"/>
      <c r="L797" s="330">
        <f t="shared" ref="L797:L808" si="86">IF(F797=0,0,((J797-F797)/F797))</f>
        <v>0</v>
      </c>
      <c r="M797" s="2"/>
      <c r="N797" s="2"/>
      <c r="O797" s="2"/>
      <c r="P797" s="2"/>
      <c r="Q797" s="2"/>
      <c r="R797" s="2"/>
      <c r="S797" s="2"/>
      <c r="T797" s="2"/>
      <c r="U797" s="2"/>
      <c r="V797" s="2"/>
      <c r="W797" s="2"/>
      <c r="X797" s="2"/>
      <c r="Y797" s="2"/>
      <c r="Z797" s="2"/>
      <c r="AA797" s="2"/>
      <c r="AB797" s="2"/>
      <c r="AC797" s="2"/>
      <c r="AD797" s="2"/>
      <c r="AE797" s="2"/>
      <c r="AF797" s="2"/>
      <c r="AG797" s="2"/>
      <c r="AH797" s="2"/>
      <c r="AI797" s="2"/>
      <c r="AJ797" s="2"/>
      <c r="AK797" s="2"/>
    </row>
    <row r="798" spans="2:37">
      <c r="B798" s="351" t="str">
        <f>B1119</f>
        <v>Bond and Interest #2</v>
      </c>
      <c r="C798" s="343">
        <v>63</v>
      </c>
      <c r="D798" s="344">
        <v>0</v>
      </c>
      <c r="E798" s="327"/>
      <c r="F798" s="654">
        <v>0</v>
      </c>
      <c r="G798" s="655"/>
      <c r="H798" s="332">
        <f t="shared" si="84"/>
        <v>0</v>
      </c>
      <c r="J798" s="654">
        <v>0</v>
      </c>
      <c r="K798" s="655"/>
      <c r="L798" s="332">
        <f t="shared" si="86"/>
        <v>0</v>
      </c>
      <c r="M798" s="2"/>
      <c r="N798" s="2"/>
      <c r="O798" s="2"/>
      <c r="P798" s="2"/>
      <c r="Q798" s="2"/>
      <c r="R798" s="2"/>
      <c r="S798" s="2"/>
      <c r="T798" s="2"/>
      <c r="U798" s="2"/>
      <c r="V798" s="2"/>
      <c r="W798" s="2"/>
      <c r="X798" s="2"/>
      <c r="Y798" s="2"/>
      <c r="Z798" s="2"/>
      <c r="AA798" s="2"/>
      <c r="AB798" s="2"/>
      <c r="AC798" s="2"/>
      <c r="AD798" s="2"/>
      <c r="AE798" s="2"/>
      <c r="AF798" s="2"/>
      <c r="AG798" s="2"/>
      <c r="AH798" s="2"/>
      <c r="AI798" s="2"/>
      <c r="AJ798" s="2"/>
      <c r="AK798" s="2"/>
    </row>
    <row r="799" spans="2:37">
      <c r="B799" s="45" t="s">
        <v>58</v>
      </c>
      <c r="C799" s="340">
        <v>66</v>
      </c>
      <c r="D799" s="341">
        <v>0</v>
      </c>
      <c r="E799" s="327"/>
      <c r="F799" s="652">
        <v>0</v>
      </c>
      <c r="G799" s="653"/>
      <c r="H799" s="330">
        <f t="shared" si="84"/>
        <v>0</v>
      </c>
      <c r="J799" s="652">
        <v>0</v>
      </c>
      <c r="K799" s="653"/>
      <c r="L799" s="330">
        <f t="shared" si="86"/>
        <v>0</v>
      </c>
      <c r="M799" s="2"/>
      <c r="N799" s="2"/>
      <c r="O799" s="2"/>
      <c r="P799" s="2"/>
      <c r="Q799" s="2"/>
      <c r="R799" s="2"/>
      <c r="S799" s="2"/>
      <c r="T799" s="2"/>
      <c r="U799" s="2"/>
      <c r="V799" s="2"/>
      <c r="W799" s="2"/>
      <c r="X799" s="2"/>
      <c r="Y799" s="2"/>
      <c r="Z799" s="2"/>
      <c r="AA799" s="2"/>
      <c r="AB799" s="2"/>
      <c r="AC799" s="2"/>
      <c r="AD799" s="2"/>
      <c r="AE799" s="2"/>
      <c r="AF799" s="2"/>
      <c r="AG799" s="2"/>
      <c r="AH799" s="2"/>
      <c r="AI799" s="2"/>
      <c r="AJ799" s="2"/>
      <c r="AK799" s="2"/>
    </row>
    <row r="800" spans="2:37" ht="17.25" customHeight="1">
      <c r="B800" s="342" t="s">
        <v>59</v>
      </c>
      <c r="C800" s="343">
        <v>67</v>
      </c>
      <c r="D800" s="344">
        <v>0</v>
      </c>
      <c r="E800" s="327"/>
      <c r="F800" s="654">
        <v>0</v>
      </c>
      <c r="G800" s="655"/>
      <c r="H800" s="332">
        <f t="shared" si="84"/>
        <v>0</v>
      </c>
      <c r="J800" s="654">
        <v>0</v>
      </c>
      <c r="K800" s="655"/>
      <c r="L800" s="332">
        <f t="shared" si="86"/>
        <v>0</v>
      </c>
      <c r="M800" s="2"/>
      <c r="N800" s="2"/>
      <c r="O800" s="2"/>
      <c r="P800" s="2"/>
      <c r="Q800" s="2"/>
      <c r="R800" s="2"/>
      <c r="S800" s="2"/>
      <c r="T800" s="2"/>
      <c r="U800" s="2"/>
      <c r="V800" s="2"/>
      <c r="W800" s="2"/>
      <c r="X800" s="2"/>
      <c r="Y800" s="2"/>
      <c r="Z800" s="2"/>
      <c r="AA800" s="2"/>
      <c r="AB800" s="2"/>
      <c r="AC800" s="2"/>
      <c r="AD800" s="2"/>
      <c r="AE800" s="2"/>
      <c r="AF800" s="2"/>
      <c r="AG800" s="2"/>
      <c r="AH800" s="2"/>
      <c r="AI800" s="2"/>
      <c r="AJ800" s="2"/>
      <c r="AK800" s="2"/>
    </row>
    <row r="801" spans="2:37" ht="15" thickBot="1">
      <c r="B801" s="45" t="s">
        <v>60</v>
      </c>
      <c r="C801" s="340">
        <v>68</v>
      </c>
      <c r="D801" s="341">
        <v>0</v>
      </c>
      <c r="E801" s="327"/>
      <c r="F801" s="669">
        <v>0</v>
      </c>
      <c r="G801" s="670"/>
      <c r="H801" s="247">
        <f t="shared" si="84"/>
        <v>0</v>
      </c>
      <c r="J801" s="669">
        <v>0</v>
      </c>
      <c r="K801" s="670"/>
      <c r="L801" s="247">
        <f t="shared" si="86"/>
        <v>0</v>
      </c>
      <c r="M801" s="2"/>
      <c r="N801" s="2"/>
      <c r="O801" s="2"/>
      <c r="P801" s="2"/>
      <c r="Q801" s="2"/>
      <c r="R801" s="2"/>
      <c r="S801" s="2"/>
      <c r="T801" s="2"/>
      <c r="U801" s="2"/>
      <c r="V801" s="2"/>
      <c r="W801" s="2"/>
      <c r="X801" s="2"/>
      <c r="Y801" s="2"/>
      <c r="Z801" s="2"/>
      <c r="AA801" s="2"/>
      <c r="AB801" s="2"/>
      <c r="AC801" s="2"/>
      <c r="AD801" s="2"/>
      <c r="AE801" s="2"/>
      <c r="AF801" s="2"/>
      <c r="AG801" s="2"/>
      <c r="AH801" s="2"/>
      <c r="AI801" s="2"/>
      <c r="AJ801" s="2"/>
      <c r="AK801" s="2"/>
    </row>
    <row r="802" spans="2:37" ht="15" thickTop="1">
      <c r="B802" s="353" t="s">
        <v>61</v>
      </c>
      <c r="C802" s="353"/>
      <c r="D802" s="371">
        <f>SUM(D770:D801)</f>
        <v>54953</v>
      </c>
      <c r="E802" s="327"/>
      <c r="F802" s="667">
        <f>SUM(F770:G801)</f>
        <v>58431</v>
      </c>
      <c r="G802" s="668"/>
      <c r="H802" s="372">
        <f t="shared" si="84"/>
        <v>0.06</v>
      </c>
      <c r="J802" s="667">
        <f>SUM(J770:K801)</f>
        <v>191507</v>
      </c>
      <c r="K802" s="668"/>
      <c r="L802" s="372">
        <f t="shared" si="86"/>
        <v>2.2799999999999998</v>
      </c>
      <c r="M802" s="2"/>
      <c r="N802" s="2"/>
      <c r="O802" s="2"/>
      <c r="P802" s="2"/>
      <c r="Q802" s="2"/>
      <c r="R802" s="2"/>
      <c r="S802" s="2"/>
      <c r="T802" s="2"/>
      <c r="U802" s="2"/>
      <c r="V802" s="2"/>
      <c r="W802" s="2"/>
      <c r="X802" s="2"/>
      <c r="Y802" s="2"/>
      <c r="Z802" s="2"/>
      <c r="AA802" s="2"/>
      <c r="AB802" s="2"/>
      <c r="AC802" s="2"/>
      <c r="AD802" s="2"/>
      <c r="AE802" s="2"/>
      <c r="AF802" s="2"/>
      <c r="AG802" s="2"/>
      <c r="AH802" s="2"/>
      <c r="AI802" s="2"/>
      <c r="AJ802" s="2"/>
      <c r="AK802" s="2"/>
    </row>
    <row r="803" spans="2:37" ht="15.75">
      <c r="B803" s="45" t="s">
        <v>181</v>
      </c>
      <c r="C803" s="45"/>
      <c r="D803" s="356">
        <f>G1312</f>
        <v>70.7</v>
      </c>
      <c r="E803" s="327"/>
      <c r="F803" s="665">
        <f>I1312</f>
        <v>82.5</v>
      </c>
      <c r="G803" s="666"/>
      <c r="H803" s="247">
        <f t="shared" si="84"/>
        <v>0.17</v>
      </c>
      <c r="J803" s="665">
        <f>K1312</f>
        <v>70</v>
      </c>
      <c r="K803" s="666"/>
      <c r="L803" s="247">
        <f t="shared" si="86"/>
        <v>-0.15</v>
      </c>
      <c r="M803" s="2"/>
      <c r="N803" s="2"/>
      <c r="O803" s="2"/>
      <c r="P803" s="2"/>
      <c r="Q803" s="2"/>
      <c r="R803" s="2"/>
      <c r="S803" s="2"/>
      <c r="T803" s="2"/>
      <c r="U803" s="2"/>
      <c r="V803" s="2"/>
      <c r="W803" s="2"/>
      <c r="X803" s="2"/>
      <c r="Y803" s="2"/>
      <c r="Z803" s="2"/>
      <c r="AA803" s="2"/>
      <c r="AB803" s="2"/>
      <c r="AC803" s="2"/>
      <c r="AD803" s="2"/>
      <c r="AE803" s="2"/>
      <c r="AF803" s="2"/>
      <c r="AG803" s="2"/>
      <c r="AH803" s="2"/>
      <c r="AI803" s="2"/>
      <c r="AJ803" s="2"/>
      <c r="AK803" s="2"/>
    </row>
    <row r="804" spans="2:37" ht="16.5" thickBot="1">
      <c r="B804" s="342" t="s">
        <v>182</v>
      </c>
      <c r="C804" s="342"/>
      <c r="D804" s="346">
        <f>IF(D802=0,0,D802/D803)</f>
        <v>777</v>
      </c>
      <c r="E804" s="327"/>
      <c r="F804" s="663">
        <f>IF(F802=0,0,F802/F803)</f>
        <v>708</v>
      </c>
      <c r="G804" s="664"/>
      <c r="H804" s="357">
        <f t="shared" si="84"/>
        <v>-0.09</v>
      </c>
      <c r="J804" s="663">
        <f>IF(J802=0,0,J802/J803)</f>
        <v>2736</v>
      </c>
      <c r="K804" s="664"/>
      <c r="L804" s="357">
        <f t="shared" si="86"/>
        <v>2.86</v>
      </c>
      <c r="M804" s="2"/>
      <c r="N804" s="2"/>
      <c r="O804" s="2"/>
      <c r="P804" s="2"/>
      <c r="Q804" s="2"/>
      <c r="R804" s="2"/>
      <c r="S804" s="2"/>
      <c r="T804" s="2"/>
      <c r="U804" s="2"/>
      <c r="V804" s="2"/>
      <c r="W804" s="2"/>
      <c r="X804" s="2"/>
      <c r="Y804" s="2"/>
      <c r="Z804" s="2"/>
      <c r="AA804" s="2"/>
      <c r="AB804" s="2"/>
      <c r="AC804" s="2"/>
      <c r="AD804" s="2"/>
      <c r="AE804" s="2"/>
      <c r="AF804" s="2"/>
      <c r="AG804" s="2"/>
      <c r="AH804" s="2"/>
      <c r="AI804" s="2"/>
      <c r="AJ804" s="2"/>
      <c r="AK804" s="2"/>
    </row>
    <row r="805" spans="2:37">
      <c r="B805" s="358" t="s">
        <v>63</v>
      </c>
      <c r="C805" s="358"/>
      <c r="D805" s="389">
        <v>0</v>
      </c>
      <c r="E805" s="327"/>
      <c r="F805" s="661">
        <v>0</v>
      </c>
      <c r="G805" s="662"/>
      <c r="H805" s="360">
        <f t="shared" si="84"/>
        <v>0</v>
      </c>
      <c r="J805" s="661">
        <v>0</v>
      </c>
      <c r="K805" s="662"/>
      <c r="L805" s="360">
        <f t="shared" si="86"/>
        <v>0</v>
      </c>
      <c r="M805" s="2"/>
      <c r="N805" s="2"/>
      <c r="O805" s="2"/>
      <c r="P805" s="2"/>
      <c r="Q805" s="2"/>
      <c r="R805" s="2"/>
      <c r="S805" s="2"/>
      <c r="T805" s="2"/>
      <c r="U805" s="2"/>
      <c r="V805" s="2"/>
      <c r="W805" s="2"/>
      <c r="X805" s="2"/>
      <c r="Y805" s="2"/>
      <c r="Z805" s="2"/>
      <c r="AA805" s="2"/>
      <c r="AB805" s="2"/>
      <c r="AC805" s="2"/>
      <c r="AD805" s="2"/>
      <c r="AE805" s="2"/>
      <c r="AF805" s="2"/>
      <c r="AG805" s="2"/>
      <c r="AH805" s="2"/>
      <c r="AI805" s="2"/>
      <c r="AJ805" s="2"/>
      <c r="AK805" s="2"/>
    </row>
    <row r="806" spans="2:37">
      <c r="B806" s="342" t="s">
        <v>64</v>
      </c>
      <c r="C806" s="342"/>
      <c r="D806" s="339">
        <v>0</v>
      </c>
      <c r="E806" s="327"/>
      <c r="F806" s="654">
        <v>0</v>
      </c>
      <c r="G806" s="655"/>
      <c r="H806" s="332">
        <f t="shared" si="84"/>
        <v>0</v>
      </c>
      <c r="J806" s="654">
        <v>0</v>
      </c>
      <c r="K806" s="655"/>
      <c r="L806" s="332">
        <f t="shared" si="86"/>
        <v>0</v>
      </c>
      <c r="M806" s="2"/>
      <c r="N806" s="2"/>
      <c r="O806" s="2"/>
      <c r="P806" s="2"/>
      <c r="Q806" s="2"/>
      <c r="R806" s="2"/>
      <c r="S806" s="2"/>
      <c r="T806" s="2"/>
      <c r="U806" s="2"/>
      <c r="V806" s="2"/>
      <c r="W806" s="2"/>
      <c r="X806" s="2"/>
      <c r="Y806" s="2"/>
      <c r="Z806" s="2"/>
      <c r="AA806" s="2"/>
      <c r="AB806" s="2"/>
      <c r="AC806" s="2"/>
      <c r="AD806" s="2"/>
      <c r="AE806" s="2"/>
      <c r="AF806" s="2"/>
      <c r="AG806" s="2"/>
      <c r="AH806" s="2"/>
      <c r="AI806" s="2"/>
      <c r="AJ806" s="2"/>
      <c r="AK806" s="2"/>
    </row>
    <row r="807" spans="2:37" ht="15" thickBot="1">
      <c r="B807" s="361" t="s">
        <v>65</v>
      </c>
      <c r="C807" s="361"/>
      <c r="D807" s="362">
        <f>SUM([1]C078!$C$162:$C$215)</f>
        <v>0</v>
      </c>
      <c r="E807" s="327"/>
      <c r="F807" s="684">
        <f>SUM([1]C078!$D$162:$D$215)</f>
        <v>0</v>
      </c>
      <c r="G807" s="660"/>
      <c r="H807" s="363">
        <f t="shared" si="84"/>
        <v>0</v>
      </c>
      <c r="J807" s="684">
        <f>SUM([1]C078!$E$162:$E$215)</f>
        <v>0</v>
      </c>
      <c r="K807" s="660"/>
      <c r="L807" s="363">
        <f t="shared" si="86"/>
        <v>0</v>
      </c>
      <c r="M807" s="2"/>
      <c r="N807" s="2"/>
      <c r="O807" s="2"/>
      <c r="P807" s="2"/>
      <c r="Q807" s="2"/>
      <c r="R807" s="2"/>
      <c r="S807" s="2"/>
      <c r="T807" s="2"/>
      <c r="U807" s="2"/>
      <c r="V807" s="2"/>
      <c r="W807" s="2"/>
      <c r="X807" s="2"/>
      <c r="Y807" s="2"/>
      <c r="Z807" s="2"/>
      <c r="AA807" s="2"/>
      <c r="AB807" s="2"/>
      <c r="AC807" s="2"/>
      <c r="AD807" s="2"/>
      <c r="AE807" s="2"/>
      <c r="AF807" s="2"/>
      <c r="AG807" s="2"/>
      <c r="AH807" s="2"/>
      <c r="AI807" s="2"/>
      <c r="AJ807" s="2"/>
      <c r="AK807" s="2"/>
    </row>
    <row r="808" spans="2:37" ht="15" thickTop="1">
      <c r="B808" s="365" t="s">
        <v>66</v>
      </c>
      <c r="C808" s="365"/>
      <c r="D808" s="373">
        <f>SUM(D805:D807,D802)</f>
        <v>54953</v>
      </c>
      <c r="E808" s="327"/>
      <c r="F808" s="657">
        <f>SUM(F805:G807,F802)</f>
        <v>58431</v>
      </c>
      <c r="G808" s="658"/>
      <c r="H808" s="374">
        <f t="shared" si="84"/>
        <v>0.06</v>
      </c>
      <c r="J808" s="657">
        <f>SUM(J805:K807,J802)</f>
        <v>191507</v>
      </c>
      <c r="K808" s="658"/>
      <c r="L808" s="374">
        <f t="shared" si="86"/>
        <v>2.2799999999999998</v>
      </c>
      <c r="M808" s="2"/>
      <c r="N808" s="2"/>
      <c r="O808" s="2"/>
      <c r="P808" s="2"/>
      <c r="Q808" s="2"/>
      <c r="R808" s="2"/>
      <c r="S808" s="2"/>
      <c r="T808" s="2"/>
      <c r="U808" s="2"/>
      <c r="V808" s="2"/>
      <c r="W808" s="2"/>
      <c r="X808" s="2"/>
      <c r="Y808" s="2"/>
      <c r="Z808" s="2"/>
      <c r="AA808" s="2"/>
      <c r="AB808" s="2"/>
      <c r="AC808" s="2"/>
      <c r="AD808" s="2"/>
      <c r="AE808" s="2"/>
      <c r="AF808" s="2"/>
      <c r="AG808" s="2"/>
      <c r="AH808" s="2"/>
      <c r="AI808" s="2"/>
      <c r="AJ808" s="2"/>
      <c r="AK808" s="2"/>
    </row>
    <row r="809" spans="2:37" ht="6.75" customHeight="1">
      <c r="B809" s="2"/>
      <c r="C809" s="2"/>
      <c r="D809" s="159"/>
      <c r="E809" s="2"/>
      <c r="F809" s="159"/>
      <c r="G809" s="201"/>
      <c r="H809" s="2"/>
      <c r="I809" s="159"/>
      <c r="J809" s="201"/>
      <c r="K809" s="2"/>
      <c r="L809" s="2"/>
      <c r="M809" s="2"/>
      <c r="N809" s="2"/>
      <c r="S809" s="2"/>
      <c r="T809" s="2"/>
      <c r="U809" s="2"/>
      <c r="V809" s="2"/>
      <c r="W809" s="2"/>
      <c r="X809" s="2"/>
      <c r="Y809" s="2"/>
      <c r="Z809" s="2"/>
      <c r="AA809" s="2"/>
      <c r="AB809" s="2"/>
      <c r="AC809" s="2"/>
      <c r="AD809" s="2"/>
      <c r="AE809" s="2"/>
      <c r="AF809" s="2"/>
      <c r="AG809" s="2"/>
      <c r="AH809" s="2"/>
      <c r="AI809" s="2"/>
      <c r="AJ809" s="2"/>
      <c r="AK809" s="2"/>
    </row>
    <row r="810" spans="2:37">
      <c r="B810" s="650"/>
      <c r="C810" s="650"/>
      <c r="D810" s="650"/>
      <c r="E810" s="650"/>
      <c r="F810" s="650"/>
      <c r="G810" s="650"/>
      <c r="H810" s="650"/>
      <c r="I810" s="650"/>
      <c r="J810" s="650"/>
      <c r="K810" s="650"/>
      <c r="L810" s="650"/>
      <c r="M810" s="2"/>
      <c r="N810" s="2"/>
      <c r="S810" s="2"/>
      <c r="T810" s="2"/>
      <c r="U810" s="2"/>
      <c r="V810" s="2"/>
      <c r="W810" s="2"/>
      <c r="X810" s="2"/>
      <c r="Y810" s="2"/>
      <c r="Z810" s="2"/>
      <c r="AA810" s="2"/>
      <c r="AB810" s="2"/>
      <c r="AC810" s="2"/>
      <c r="AD810" s="2"/>
      <c r="AE810" s="2"/>
      <c r="AF810" s="2"/>
      <c r="AG810" s="2"/>
      <c r="AH810" s="2"/>
      <c r="AI810" s="2"/>
      <c r="AJ810" s="2"/>
      <c r="AK810" s="2"/>
    </row>
    <row r="811" spans="2:37">
      <c r="B811" s="650"/>
      <c r="C811" s="650"/>
      <c r="D811" s="650"/>
      <c r="E811" s="650"/>
      <c r="F811" s="650"/>
      <c r="G811" s="650"/>
      <c r="H811" s="650"/>
      <c r="I811" s="650"/>
      <c r="J811" s="650"/>
      <c r="K811" s="650"/>
      <c r="L811" s="650"/>
      <c r="M811" s="2"/>
      <c r="N811" s="2"/>
      <c r="O811" s="2"/>
      <c r="P811" s="2"/>
      <c r="Q811" s="2"/>
      <c r="R811" s="2"/>
      <c r="S811" s="2"/>
      <c r="T811" s="2"/>
      <c r="U811" s="2"/>
      <c r="V811" s="2"/>
      <c r="W811" s="2"/>
      <c r="X811" s="2"/>
      <c r="Y811" s="2"/>
      <c r="Z811" s="2"/>
      <c r="AA811" s="2"/>
      <c r="AB811" s="2"/>
      <c r="AC811" s="2"/>
      <c r="AD811" s="2"/>
      <c r="AE811" s="2"/>
      <c r="AF811" s="2"/>
      <c r="AG811" s="2"/>
      <c r="AH811" s="2"/>
      <c r="AI811" s="2"/>
      <c r="AJ811" s="2"/>
      <c r="AK811" s="2"/>
    </row>
    <row r="812" spans="2:37">
      <c r="B812" s="650"/>
      <c r="C812" s="650"/>
      <c r="D812" s="650"/>
      <c r="E812" s="650"/>
      <c r="F812" s="650"/>
      <c r="G812" s="650"/>
      <c r="H812" s="650"/>
      <c r="I812" s="650"/>
      <c r="J812" s="650"/>
      <c r="K812" s="650"/>
      <c r="L812" s="650"/>
      <c r="M812" s="2"/>
      <c r="N812" s="2"/>
      <c r="O812" s="2"/>
      <c r="P812" s="2"/>
      <c r="Q812" s="2"/>
      <c r="R812" s="2"/>
      <c r="S812" s="2"/>
      <c r="T812" s="2"/>
      <c r="U812" s="2"/>
      <c r="V812" s="2"/>
      <c r="W812" s="2"/>
      <c r="X812" s="2"/>
      <c r="Y812" s="2"/>
      <c r="Z812" s="2"/>
      <c r="AA812" s="2"/>
      <c r="AB812" s="2"/>
      <c r="AC812" s="2"/>
      <c r="AD812" s="2"/>
      <c r="AE812" s="2"/>
      <c r="AF812" s="2"/>
      <c r="AG812" s="2"/>
      <c r="AH812" s="2"/>
      <c r="AI812" s="2"/>
      <c r="AJ812" s="2"/>
      <c r="AK812" s="2"/>
    </row>
    <row r="813" spans="2:37">
      <c r="B813" s="208"/>
      <c r="C813" s="2"/>
      <c r="D813" s="159"/>
      <c r="E813" s="2"/>
      <c r="F813" s="159"/>
      <c r="G813" s="201"/>
      <c r="H813" s="2"/>
      <c r="I813" s="159"/>
      <c r="J813" s="201"/>
      <c r="K813" s="2"/>
      <c r="L813" s="2"/>
      <c r="M813" s="2"/>
      <c r="N813" s="2"/>
      <c r="S813" s="2"/>
      <c r="T813" s="2"/>
      <c r="U813" s="2"/>
      <c r="V813" s="2"/>
      <c r="W813" s="2"/>
      <c r="X813" s="2"/>
      <c r="Y813" s="2"/>
      <c r="Z813" s="2"/>
      <c r="AA813" s="2"/>
      <c r="AB813" s="2"/>
      <c r="AC813" s="2"/>
      <c r="AD813" s="2"/>
      <c r="AE813" s="2"/>
      <c r="AF813" s="2"/>
      <c r="AG813" s="2"/>
      <c r="AH813" s="2"/>
      <c r="AI813" s="2"/>
      <c r="AJ813" s="2"/>
      <c r="AK813" s="2"/>
    </row>
    <row r="814" spans="2:37">
      <c r="B814" s="2"/>
      <c r="C814" s="2"/>
      <c r="D814" s="159"/>
      <c r="E814" s="2"/>
      <c r="F814" s="159"/>
      <c r="G814" s="201"/>
      <c r="H814" s="2"/>
      <c r="I814" s="159"/>
      <c r="J814" s="201"/>
      <c r="K814" s="2"/>
      <c r="L814" s="2"/>
      <c r="M814" s="2"/>
      <c r="N814" s="2"/>
      <c r="S814" s="2"/>
      <c r="T814" s="2"/>
      <c r="U814" s="2"/>
      <c r="V814" s="2"/>
      <c r="W814" s="2"/>
      <c r="X814" s="2"/>
      <c r="Y814" s="2"/>
      <c r="Z814" s="2"/>
      <c r="AA814" s="2"/>
      <c r="AB814" s="2"/>
      <c r="AC814" s="2"/>
      <c r="AD814" s="2"/>
      <c r="AE814" s="2"/>
      <c r="AF814" s="2"/>
      <c r="AG814" s="2"/>
      <c r="AH814" s="2"/>
      <c r="AI814" s="2"/>
      <c r="AJ814" s="2"/>
      <c r="AK814" s="2"/>
    </row>
    <row r="815" spans="2:37">
      <c r="B815" s="2"/>
      <c r="C815" s="2"/>
      <c r="D815" s="159"/>
      <c r="E815" s="2"/>
      <c r="F815" s="159"/>
      <c r="G815" s="201"/>
      <c r="H815" s="2"/>
      <c r="I815" s="159"/>
      <c r="J815" s="201"/>
      <c r="K815" s="2"/>
      <c r="L815" s="2"/>
      <c r="M815" s="2"/>
      <c r="N815" s="2"/>
      <c r="S815" s="2"/>
      <c r="T815" s="2"/>
      <c r="U815" s="2"/>
      <c r="V815" s="2"/>
      <c r="W815" s="2"/>
      <c r="X815" s="2"/>
      <c r="Y815" s="2"/>
      <c r="Z815" s="2"/>
      <c r="AA815" s="2"/>
      <c r="AB815" s="2"/>
      <c r="AC815" s="2"/>
      <c r="AD815" s="2"/>
      <c r="AE815" s="2"/>
      <c r="AF815" s="2"/>
      <c r="AG815" s="2"/>
      <c r="AH815" s="2"/>
      <c r="AI815" s="2"/>
      <c r="AJ815" s="2"/>
      <c r="AK815" s="2"/>
    </row>
    <row r="816" spans="2:37">
      <c r="B816" s="2"/>
      <c r="C816" s="2"/>
      <c r="D816" s="159"/>
      <c r="E816" s="2"/>
      <c r="F816" s="159"/>
      <c r="G816" s="201"/>
      <c r="H816" s="2"/>
      <c r="I816" s="159"/>
      <c r="J816" s="201"/>
      <c r="K816" s="2"/>
      <c r="L816" s="2"/>
      <c r="M816" s="2"/>
      <c r="N816" s="2"/>
      <c r="O816" s="2"/>
      <c r="P816" s="2"/>
      <c r="Q816" s="2"/>
      <c r="R816" s="2"/>
      <c r="S816" s="2"/>
      <c r="T816" s="2"/>
      <c r="U816" s="2"/>
      <c r="V816" s="2"/>
      <c r="W816" s="2"/>
      <c r="X816" s="2"/>
      <c r="Y816" s="2"/>
      <c r="Z816" s="2"/>
      <c r="AA816" s="2"/>
      <c r="AB816" s="2"/>
      <c r="AC816" s="2"/>
      <c r="AD816" s="2"/>
      <c r="AE816" s="2"/>
      <c r="AF816" s="2"/>
      <c r="AG816" s="2"/>
      <c r="AH816" s="2"/>
      <c r="AI816" s="2"/>
      <c r="AJ816" s="2"/>
      <c r="AK816" s="2"/>
    </row>
    <row r="817" spans="2:37">
      <c r="B817" s="2"/>
      <c r="C817" s="2"/>
      <c r="D817" s="159"/>
      <c r="E817" s="2"/>
      <c r="F817" s="159"/>
      <c r="G817" s="201"/>
      <c r="H817" s="2"/>
      <c r="I817" s="159"/>
      <c r="J817" s="201"/>
      <c r="K817" s="2"/>
      <c r="L817" s="2"/>
      <c r="M817" s="2"/>
      <c r="N817" s="2"/>
      <c r="O817" s="2"/>
      <c r="P817" s="2"/>
      <c r="Q817" s="2"/>
      <c r="R817" s="2"/>
      <c r="S817" s="2"/>
      <c r="T817" s="2"/>
      <c r="U817" s="2"/>
      <c r="V817" s="2"/>
      <c r="W817" s="2"/>
      <c r="X817" s="2"/>
      <c r="Y817" s="2"/>
      <c r="Z817" s="2"/>
      <c r="AA817" s="2"/>
      <c r="AB817" s="2"/>
      <c r="AC817" s="2"/>
      <c r="AD817" s="2"/>
      <c r="AE817" s="2"/>
      <c r="AF817" s="2"/>
      <c r="AG817" s="2"/>
      <c r="AH817" s="2"/>
      <c r="AI817" s="2"/>
      <c r="AJ817" s="2"/>
      <c r="AK817" s="2"/>
    </row>
    <row r="818" spans="2:37">
      <c r="B818" s="2"/>
      <c r="C818" s="2"/>
      <c r="D818" s="159"/>
      <c r="E818" s="2"/>
      <c r="F818" s="159"/>
      <c r="G818" s="201"/>
      <c r="H818" s="2"/>
      <c r="I818" s="159"/>
      <c r="J818" s="201"/>
      <c r="K818" s="2"/>
      <c r="L818" s="2"/>
      <c r="M818" s="2"/>
      <c r="N818" s="2"/>
      <c r="O818" s="2"/>
      <c r="P818" s="2"/>
      <c r="Q818" s="2"/>
      <c r="R818" s="2"/>
      <c r="S818" s="2"/>
      <c r="T818" s="2"/>
      <c r="U818" s="2"/>
      <c r="V818" s="2"/>
      <c r="W818" s="2"/>
      <c r="X818" s="2"/>
      <c r="Y818" s="2"/>
      <c r="Z818" s="2"/>
      <c r="AA818" s="2"/>
      <c r="AB818" s="2"/>
      <c r="AC818" s="2"/>
      <c r="AD818" s="2"/>
      <c r="AE818" s="2"/>
      <c r="AF818" s="2"/>
      <c r="AG818" s="2"/>
      <c r="AH818" s="2"/>
      <c r="AI818" s="2"/>
      <c r="AJ818" s="2"/>
      <c r="AK818" s="2"/>
    </row>
    <row r="819" spans="2:37">
      <c r="B819" s="2"/>
      <c r="C819" s="2"/>
      <c r="D819" s="159"/>
      <c r="E819" s="2"/>
      <c r="F819" s="159"/>
      <c r="G819" s="201"/>
      <c r="H819" s="2"/>
      <c r="I819" s="159"/>
      <c r="J819" s="201"/>
      <c r="K819" s="2"/>
      <c r="L819" s="2"/>
      <c r="M819" s="2"/>
      <c r="N819" s="2"/>
      <c r="O819" s="2"/>
      <c r="P819" s="2"/>
      <c r="Q819" s="2"/>
      <c r="R819" s="2"/>
      <c r="S819" s="2"/>
      <c r="T819" s="2"/>
      <c r="U819" s="2"/>
      <c r="V819" s="2"/>
      <c r="W819" s="2"/>
      <c r="X819" s="2"/>
      <c r="Y819" s="2"/>
      <c r="Z819" s="2"/>
      <c r="AA819" s="2"/>
      <c r="AB819" s="2"/>
      <c r="AC819" s="2"/>
      <c r="AD819" s="2"/>
      <c r="AE819" s="2"/>
      <c r="AF819" s="2"/>
      <c r="AG819" s="2"/>
      <c r="AH819" s="2"/>
      <c r="AI819" s="2"/>
      <c r="AJ819" s="2"/>
      <c r="AK819" s="2"/>
    </row>
    <row r="820" spans="2:37">
      <c r="B820" s="2"/>
      <c r="C820" s="2"/>
      <c r="D820" s="159"/>
      <c r="E820" s="2"/>
      <c r="F820" s="159"/>
      <c r="G820" s="201"/>
      <c r="H820" s="2"/>
      <c r="I820" s="159"/>
      <c r="J820" s="201"/>
      <c r="K820" s="2"/>
      <c r="L820" s="2"/>
      <c r="M820" s="2"/>
      <c r="N820" s="2"/>
      <c r="O820" s="2"/>
      <c r="P820" s="2"/>
      <c r="Q820" s="2"/>
      <c r="R820" s="2"/>
      <c r="S820" s="2"/>
      <c r="T820" s="2"/>
      <c r="U820" s="2"/>
      <c r="V820" s="2"/>
      <c r="W820" s="2"/>
      <c r="X820" s="2"/>
      <c r="Y820" s="2"/>
      <c r="Z820" s="2"/>
      <c r="AA820" s="2"/>
      <c r="AB820" s="2"/>
      <c r="AC820" s="2"/>
      <c r="AD820" s="2"/>
      <c r="AE820" s="2"/>
      <c r="AF820" s="2"/>
      <c r="AG820" s="2"/>
      <c r="AH820" s="2"/>
      <c r="AI820" s="2"/>
      <c r="AJ820" s="2"/>
      <c r="AK820" s="2"/>
    </row>
    <row r="821" spans="2:37">
      <c r="B821" s="2"/>
      <c r="C821" s="2"/>
      <c r="D821" s="159"/>
      <c r="E821" s="2"/>
      <c r="F821" s="159"/>
      <c r="G821" s="201"/>
      <c r="H821" s="2"/>
      <c r="I821" s="159"/>
      <c r="J821" s="201"/>
      <c r="K821" s="2"/>
      <c r="L821" s="2"/>
      <c r="M821" s="2"/>
      <c r="N821" s="2"/>
      <c r="O821" s="2"/>
      <c r="P821" s="2"/>
      <c r="Q821" s="2"/>
      <c r="R821" s="2"/>
      <c r="S821" s="2"/>
      <c r="T821" s="2"/>
      <c r="U821" s="2"/>
      <c r="V821" s="2"/>
      <c r="W821" s="2"/>
      <c r="X821" s="2"/>
      <c r="Y821" s="2"/>
      <c r="Z821" s="2"/>
      <c r="AA821" s="2"/>
      <c r="AB821" s="2"/>
      <c r="AC821" s="2"/>
      <c r="AD821" s="2"/>
      <c r="AE821" s="2"/>
      <c r="AF821" s="2"/>
      <c r="AG821" s="2"/>
      <c r="AH821" s="2"/>
      <c r="AI821" s="2"/>
      <c r="AJ821" s="2"/>
      <c r="AK821" s="2"/>
    </row>
    <row r="822" spans="2:37">
      <c r="B822" s="2"/>
      <c r="C822" s="2"/>
      <c r="D822" s="159"/>
      <c r="E822" s="2"/>
      <c r="F822" s="159"/>
      <c r="G822" s="201"/>
      <c r="H822" s="2"/>
      <c r="I822" s="159"/>
      <c r="J822" s="201"/>
      <c r="K822" s="2"/>
      <c r="L822" s="2"/>
      <c r="M822" s="2"/>
      <c r="N822" s="2"/>
      <c r="O822" s="2"/>
      <c r="P822" s="140" t="str">
        <f>$B$766</f>
        <v>Transportation Expenditures (2700)</v>
      </c>
      <c r="Q822" s="2"/>
      <c r="R822" s="2"/>
      <c r="S822" s="2"/>
      <c r="T822" s="2"/>
      <c r="U822" s="2"/>
      <c r="V822" s="2"/>
      <c r="W822" s="2"/>
      <c r="X822" s="2"/>
      <c r="Y822" s="2"/>
      <c r="Z822" s="2"/>
      <c r="AA822" s="2"/>
      <c r="AB822" s="2"/>
      <c r="AC822" s="2"/>
      <c r="AD822" s="2"/>
      <c r="AE822" s="2"/>
      <c r="AF822" s="2"/>
      <c r="AG822" s="2"/>
      <c r="AH822" s="2"/>
      <c r="AI822" s="2"/>
      <c r="AJ822" s="2"/>
      <c r="AK822" s="2"/>
    </row>
    <row r="823" spans="2:37">
      <c r="B823" s="2"/>
      <c r="C823" s="2"/>
      <c r="D823" s="159"/>
      <c r="E823" s="2"/>
      <c r="F823" s="159"/>
      <c r="G823" s="201"/>
      <c r="H823" s="2"/>
      <c r="I823" s="159"/>
      <c r="J823" s="201"/>
      <c r="K823" s="2"/>
      <c r="L823" s="2"/>
      <c r="M823" s="2"/>
      <c r="N823" s="2"/>
      <c r="O823" s="2"/>
      <c r="P823" s="82" t="str">
        <f>D4</f>
        <v>2023-2024</v>
      </c>
      <c r="Q823" s="82" t="str">
        <f>F4</f>
        <v>2024-2025</v>
      </c>
      <c r="R823" s="82" t="str">
        <f>I4</f>
        <v>2025-2026</v>
      </c>
      <c r="S823" s="2"/>
      <c r="T823" s="2"/>
      <c r="U823" s="2"/>
      <c r="V823" s="2"/>
      <c r="W823" s="2"/>
      <c r="X823" s="2"/>
      <c r="Y823" s="2"/>
      <c r="Z823" s="2"/>
      <c r="AA823" s="2"/>
      <c r="AB823" s="2"/>
      <c r="AC823" s="2"/>
      <c r="AD823" s="2"/>
      <c r="AE823" s="2"/>
      <c r="AF823" s="2"/>
      <c r="AG823" s="2"/>
      <c r="AH823" s="2"/>
      <c r="AI823" s="2"/>
      <c r="AJ823" s="2"/>
      <c r="AK823" s="2"/>
    </row>
    <row r="824" spans="2:37">
      <c r="C824" s="2"/>
      <c r="D824" s="159"/>
      <c r="E824" s="2"/>
      <c r="F824" s="159"/>
      <c r="G824" s="201"/>
      <c r="H824" s="2"/>
      <c r="I824" s="159"/>
      <c r="J824" s="201"/>
      <c r="K824" s="2"/>
      <c r="L824" s="2"/>
      <c r="M824" s="2"/>
      <c r="N824" s="2"/>
      <c r="O824" s="140" t="str">
        <f>$B766</f>
        <v>Transportation Expenditures (2700)</v>
      </c>
      <c r="P824" s="207">
        <f>IF(AND($D808&lt;=0,$F808&lt;=0,$J808&lt;=0),#N/A,IF($D808&lt;=0,0,$D808))</f>
        <v>54953</v>
      </c>
      <c r="Q824" s="207">
        <f>IF(AND($D808&lt;=0,$F808&lt;=0,$J808&lt;=0),#N/A,IF($F808&lt;=0,0,$F808))</f>
        <v>58431</v>
      </c>
      <c r="R824" s="207">
        <f>IF(AND($D808&lt;=0,$F808&lt;=0,$J808&lt;=0),#N/A,IF($J808&lt;=0,0,$J808))</f>
        <v>191507</v>
      </c>
      <c r="S824" s="2"/>
      <c r="T824" s="2"/>
      <c r="U824" s="2"/>
      <c r="V824" s="2"/>
      <c r="W824" s="2"/>
      <c r="X824" s="2"/>
      <c r="Y824" s="2"/>
      <c r="Z824" s="2"/>
      <c r="AA824" s="2"/>
      <c r="AB824" s="2"/>
      <c r="AC824" s="2"/>
      <c r="AD824" s="2"/>
      <c r="AE824" s="2"/>
      <c r="AF824" s="2"/>
      <c r="AG824" s="2"/>
      <c r="AH824" s="2"/>
      <c r="AI824" s="2"/>
      <c r="AJ824" s="2"/>
      <c r="AK824" s="2"/>
    </row>
    <row r="825" spans="2:37">
      <c r="C825" s="2"/>
      <c r="D825" s="159"/>
      <c r="E825" s="2"/>
      <c r="F825" s="159"/>
      <c r="G825" s="201"/>
      <c r="H825" s="2"/>
      <c r="I825" s="159"/>
      <c r="J825" s="201"/>
      <c r="K825" s="2"/>
      <c r="L825" s="2"/>
      <c r="M825" s="2"/>
      <c r="N825" s="2"/>
      <c r="O825" s="2"/>
      <c r="P825" s="2"/>
      <c r="Q825" s="2"/>
      <c r="R825" s="2"/>
      <c r="S825" s="2"/>
      <c r="T825" s="2"/>
      <c r="U825" s="2"/>
      <c r="V825" s="2"/>
      <c r="W825" s="2"/>
      <c r="X825" s="2"/>
      <c r="Y825" s="2"/>
      <c r="Z825" s="2"/>
      <c r="AA825" s="2"/>
      <c r="AB825" s="2"/>
      <c r="AC825" s="2"/>
      <c r="AD825" s="2"/>
      <c r="AE825" s="2"/>
      <c r="AF825" s="2"/>
      <c r="AG825" s="2"/>
      <c r="AH825" s="2"/>
      <c r="AI825" s="2"/>
      <c r="AJ825" s="2"/>
      <c r="AK825" s="2"/>
    </row>
    <row r="826" spans="2:37">
      <c r="C826" s="2"/>
      <c r="D826" s="159"/>
      <c r="E826" s="2"/>
      <c r="F826" s="159"/>
      <c r="G826" s="201"/>
      <c r="H826" s="2"/>
      <c r="I826" s="159"/>
      <c r="J826" s="201"/>
      <c r="K826" s="2"/>
      <c r="L826" s="2"/>
      <c r="M826" s="2"/>
      <c r="N826" s="2"/>
      <c r="O826" s="2"/>
      <c r="P826" s="2"/>
      <c r="Q826" s="2"/>
      <c r="R826" s="2"/>
      <c r="S826" s="2"/>
      <c r="T826" s="2"/>
      <c r="U826" s="2"/>
      <c r="V826" s="2"/>
      <c r="W826" s="2"/>
      <c r="X826" s="2"/>
      <c r="Y826" s="2"/>
      <c r="Z826" s="2"/>
      <c r="AA826" s="2"/>
      <c r="AB826" s="2"/>
      <c r="AC826" s="2"/>
      <c r="AD826" s="2"/>
      <c r="AE826" s="2"/>
      <c r="AF826" s="2"/>
      <c r="AG826" s="2"/>
      <c r="AH826" s="2"/>
      <c r="AI826" s="2"/>
      <c r="AJ826" s="2"/>
      <c r="AK826" s="2"/>
    </row>
    <row r="827" spans="2:37">
      <c r="C827" s="2"/>
      <c r="D827" s="159"/>
      <c r="E827" s="2"/>
      <c r="F827" s="159"/>
      <c r="G827" s="201"/>
      <c r="H827" s="2"/>
      <c r="I827" s="159"/>
      <c r="J827" s="201"/>
      <c r="K827" s="2"/>
      <c r="L827" s="2"/>
      <c r="M827" s="2"/>
      <c r="N827" s="2"/>
      <c r="O827" s="2"/>
      <c r="P827" s="2"/>
      <c r="Q827" s="2"/>
      <c r="R827" s="2"/>
      <c r="S827" s="2"/>
      <c r="T827" s="2"/>
      <c r="U827" s="2"/>
      <c r="V827" s="2"/>
      <c r="W827" s="2"/>
      <c r="X827" s="2"/>
      <c r="Y827" s="2"/>
      <c r="Z827" s="2"/>
      <c r="AA827" s="2"/>
      <c r="AB827" s="2"/>
      <c r="AC827" s="2"/>
      <c r="AD827" s="2"/>
      <c r="AE827" s="2"/>
      <c r="AF827" s="2"/>
      <c r="AG827" s="2"/>
      <c r="AH827" s="2"/>
      <c r="AI827" s="2"/>
      <c r="AJ827" s="2"/>
      <c r="AK827" s="2"/>
    </row>
    <row r="828" spans="2:37">
      <c r="C828" s="2"/>
      <c r="D828" s="159"/>
      <c r="E828" s="2"/>
      <c r="F828" s="159"/>
      <c r="G828" s="201"/>
      <c r="H828" s="2"/>
      <c r="I828" s="159"/>
      <c r="J828" s="201"/>
      <c r="K828" s="2"/>
      <c r="L828" s="2"/>
      <c r="M828" s="2"/>
      <c r="N828" s="2"/>
      <c r="O828" s="2"/>
      <c r="P828" s="2"/>
      <c r="Q828" s="2"/>
      <c r="R828" s="2"/>
      <c r="S828" s="2"/>
      <c r="T828" s="2"/>
      <c r="U828" s="2"/>
      <c r="V828" s="2"/>
      <c r="W828" s="2"/>
      <c r="X828" s="2"/>
      <c r="Y828" s="2"/>
      <c r="Z828" s="2"/>
      <c r="AA828" s="2"/>
      <c r="AB828" s="2"/>
      <c r="AC828" s="2"/>
      <c r="AD828" s="2"/>
      <c r="AE828" s="2"/>
      <c r="AF828" s="2"/>
      <c r="AG828" s="2"/>
      <c r="AH828" s="2"/>
      <c r="AI828" s="2"/>
      <c r="AJ828" s="2"/>
      <c r="AK828" s="2"/>
    </row>
    <row r="829" spans="2:37">
      <c r="C829" s="2"/>
      <c r="D829" s="159"/>
      <c r="E829" s="2"/>
      <c r="F829" s="159"/>
      <c r="G829" s="201"/>
      <c r="H829" s="2"/>
      <c r="I829" s="159"/>
      <c r="J829" s="201"/>
      <c r="K829" s="2"/>
      <c r="L829" s="2"/>
      <c r="M829" s="2"/>
      <c r="N829" s="2"/>
      <c r="O829" s="2"/>
      <c r="P829" s="2"/>
      <c r="Q829" s="2"/>
      <c r="R829" s="2"/>
      <c r="S829" s="2"/>
      <c r="T829" s="2"/>
      <c r="U829" s="2"/>
      <c r="V829" s="2"/>
      <c r="W829" s="2"/>
      <c r="X829" s="2"/>
      <c r="Y829" s="2"/>
      <c r="Z829" s="2"/>
      <c r="AA829" s="2"/>
      <c r="AB829" s="2"/>
      <c r="AC829" s="2"/>
      <c r="AD829" s="2"/>
      <c r="AE829" s="2"/>
      <c r="AF829" s="2"/>
      <c r="AG829" s="2"/>
      <c r="AH829" s="2"/>
      <c r="AI829" s="2"/>
      <c r="AJ829" s="2"/>
      <c r="AK829" s="2"/>
    </row>
    <row r="830" spans="2:37" ht="18">
      <c r="B830" s="316" t="s">
        <v>130</v>
      </c>
      <c r="C830" s="143"/>
      <c r="D830" s="143"/>
      <c r="E830" s="143"/>
      <c r="F830" s="144"/>
      <c r="G830" s="144"/>
      <c r="H830" s="144"/>
      <c r="I830" s="143"/>
      <c r="J830" s="143"/>
      <c r="K830" s="143"/>
      <c r="L830" s="143"/>
      <c r="M830" s="2"/>
      <c r="N830" s="2"/>
      <c r="O830" s="2"/>
      <c r="P830" s="2"/>
      <c r="Q830" s="2"/>
      <c r="R830" s="2"/>
      <c r="S830" s="2"/>
      <c r="T830" s="2"/>
      <c r="U830" s="2"/>
      <c r="V830" s="2"/>
      <c r="W830" s="2"/>
      <c r="X830" s="2"/>
      <c r="Y830" s="2"/>
      <c r="Z830" s="2"/>
      <c r="AA830" s="2"/>
      <c r="AB830" s="2"/>
      <c r="AC830" s="2"/>
      <c r="AD830" s="2"/>
      <c r="AE830" s="2"/>
      <c r="AF830" s="2"/>
      <c r="AG830" s="2"/>
      <c r="AH830" s="2"/>
      <c r="AI830" s="2"/>
      <c r="AJ830" s="2"/>
      <c r="AK830" s="2"/>
    </row>
    <row r="831" spans="2:37">
      <c r="B831" s="2"/>
      <c r="C831" s="386" t="s">
        <v>1</v>
      </c>
      <c r="D831" s="379"/>
      <c r="E831" s="4"/>
      <c r="F831" s="379"/>
      <c r="G831" s="380"/>
      <c r="H831" s="4"/>
      <c r="I831" s="317"/>
      <c r="J831" s="380"/>
      <c r="K831" s="2"/>
      <c r="L831" s="2"/>
      <c r="M831" s="2"/>
      <c r="N831" s="2"/>
      <c r="O831" s="2"/>
      <c r="P831" s="2"/>
      <c r="Q831" s="2"/>
      <c r="R831" s="2"/>
      <c r="S831" s="2"/>
      <c r="T831" s="2"/>
      <c r="U831" s="2"/>
      <c r="V831" s="2"/>
      <c r="W831" s="2"/>
      <c r="X831" s="2"/>
      <c r="Y831" s="2"/>
      <c r="Z831" s="2"/>
      <c r="AA831" s="2"/>
      <c r="AB831" s="2"/>
      <c r="AC831" s="2"/>
      <c r="AD831" s="2"/>
      <c r="AE831" s="2"/>
      <c r="AF831" s="2"/>
      <c r="AG831" s="2"/>
      <c r="AH831" s="2"/>
      <c r="AI831" s="2"/>
      <c r="AJ831" s="2"/>
      <c r="AK831" s="2"/>
    </row>
    <row r="832" spans="2:37">
      <c r="B832" s="2"/>
      <c r="C832" s="145"/>
      <c r="D832" s="381" t="str">
        <f>D4</f>
        <v>2023-2024</v>
      </c>
      <c r="E832" s="43"/>
      <c r="F832" s="740" t="str">
        <f>F4</f>
        <v>2024-2025</v>
      </c>
      <c r="G832" s="741"/>
      <c r="H832" s="319" t="s">
        <v>2</v>
      </c>
      <c r="J832" s="740" t="str">
        <f>I4</f>
        <v>2025-2026</v>
      </c>
      <c r="K832" s="741"/>
      <c r="L832" s="387" t="s">
        <v>2</v>
      </c>
      <c r="M832" s="2"/>
      <c r="N832" s="2"/>
      <c r="O832" s="2"/>
      <c r="P832" s="2"/>
      <c r="Q832" s="2"/>
      <c r="R832" s="2"/>
      <c r="S832" s="2"/>
      <c r="T832" s="2"/>
      <c r="U832" s="2"/>
      <c r="V832" s="2"/>
      <c r="W832" s="2"/>
      <c r="X832" s="2"/>
      <c r="Y832" s="2"/>
      <c r="Z832" s="2"/>
      <c r="AA832" s="2"/>
      <c r="AB832" s="2"/>
      <c r="AC832" s="2"/>
      <c r="AD832" s="2"/>
      <c r="AE832" s="2"/>
      <c r="AF832" s="2"/>
      <c r="AG832" s="2"/>
      <c r="AH832" s="2"/>
      <c r="AI832" s="2"/>
      <c r="AJ832" s="2"/>
      <c r="AK832" s="2"/>
    </row>
    <row r="833" spans="2:37">
      <c r="B833" s="2"/>
      <c r="C833" s="220" t="s">
        <v>4</v>
      </c>
      <c r="D833" s="323" t="s">
        <v>5</v>
      </c>
      <c r="E833" s="43"/>
      <c r="F833" s="736" t="s">
        <v>5</v>
      </c>
      <c r="G833" s="737"/>
      <c r="H833" s="322" t="s">
        <v>144</v>
      </c>
      <c r="J833" s="736" t="s">
        <v>6</v>
      </c>
      <c r="K833" s="737"/>
      <c r="L833" s="388" t="s">
        <v>144</v>
      </c>
      <c r="M833" s="2"/>
      <c r="N833" s="2"/>
      <c r="O833" s="2"/>
      <c r="P833" s="2"/>
      <c r="Q833" s="2"/>
      <c r="R833" s="2"/>
      <c r="S833" s="2"/>
      <c r="T833" s="2"/>
      <c r="U833" s="2"/>
      <c r="V833" s="2"/>
      <c r="W833" s="2"/>
      <c r="X833" s="2"/>
      <c r="Y833" s="2"/>
      <c r="Z833" s="2"/>
      <c r="AA833" s="2"/>
      <c r="AB833" s="2"/>
      <c r="AC833" s="2"/>
      <c r="AD833" s="2"/>
      <c r="AE833" s="2"/>
      <c r="AF833" s="2"/>
      <c r="AG833" s="2"/>
      <c r="AH833" s="2"/>
      <c r="AI833" s="2"/>
      <c r="AJ833" s="2"/>
      <c r="AK833" s="2"/>
    </row>
    <row r="834" spans="2:37">
      <c r="B834" s="324" t="s">
        <v>34</v>
      </c>
      <c r="C834" s="325"/>
      <c r="D834" s="326">
        <f>SUM([1]C06!$C$250:$C$261)</f>
        <v>7174</v>
      </c>
      <c r="E834" s="327"/>
      <c r="F834" s="746">
        <f>SUM([1]C06!$D$250:$D$261)</f>
        <v>219</v>
      </c>
      <c r="G834" s="745"/>
      <c r="H834" s="328">
        <f t="shared" ref="H834:H872" si="87">IF(D834=0,0,((F834-D834)/D834))</f>
        <v>-0.97</v>
      </c>
      <c r="J834" s="746">
        <f>SUM([1]C06!$E$250:$E$261)</f>
        <v>0</v>
      </c>
      <c r="K834" s="745"/>
      <c r="L834" s="328">
        <f t="shared" ref="L834:L855" si="88">IF(F834=0,0,((J834-F834)/F834))</f>
        <v>-1</v>
      </c>
      <c r="M834" s="2"/>
      <c r="N834" s="2"/>
      <c r="O834" s="2"/>
      <c r="P834" s="2"/>
      <c r="Q834" s="2"/>
      <c r="R834" s="2"/>
      <c r="S834" s="2"/>
      <c r="T834" s="2"/>
      <c r="U834" s="2"/>
      <c r="V834" s="2"/>
      <c r="W834" s="2"/>
      <c r="X834" s="2"/>
      <c r="Y834" s="2"/>
      <c r="Z834" s="2"/>
      <c r="AA834" s="2"/>
      <c r="AB834" s="2"/>
      <c r="AC834" s="2"/>
      <c r="AD834" s="2"/>
      <c r="AE834" s="2"/>
      <c r="AF834" s="2"/>
      <c r="AG834" s="2"/>
      <c r="AH834" s="2"/>
      <c r="AI834" s="2"/>
      <c r="AJ834" s="2"/>
      <c r="AK834" s="2"/>
    </row>
    <row r="835" spans="2:37">
      <c r="B835" s="44" t="s">
        <v>36</v>
      </c>
      <c r="C835" s="44"/>
      <c r="D835" s="329">
        <f>SUM([1]C07!$C$188:$C$199)</f>
        <v>0</v>
      </c>
      <c r="E835" s="327"/>
      <c r="F835" s="743">
        <f>SUM([1]C07!$D$188:$D$199)</f>
        <v>0</v>
      </c>
      <c r="G835" s="742"/>
      <c r="H835" s="330">
        <f t="shared" si="87"/>
        <v>0</v>
      </c>
      <c r="J835" s="743">
        <f>SUM([1]C07!$E$188:$E$199)</f>
        <v>0</v>
      </c>
      <c r="K835" s="742"/>
      <c r="L835" s="330">
        <f t="shared" si="88"/>
        <v>0</v>
      </c>
      <c r="M835" s="2"/>
      <c r="N835" s="2"/>
      <c r="O835" s="2"/>
      <c r="P835" s="2"/>
      <c r="Q835" s="2"/>
      <c r="R835" s="2"/>
      <c r="S835" s="2"/>
      <c r="T835" s="2"/>
      <c r="U835" s="2"/>
      <c r="V835" s="2"/>
      <c r="W835" s="2"/>
      <c r="X835" s="2"/>
      <c r="Y835" s="2"/>
      <c r="Z835" s="2"/>
      <c r="AA835" s="2"/>
      <c r="AB835" s="2"/>
      <c r="AC835" s="2"/>
      <c r="AD835" s="2"/>
      <c r="AE835" s="2"/>
      <c r="AF835" s="2"/>
      <c r="AG835" s="2"/>
      <c r="AH835" s="2"/>
      <c r="AI835" s="2"/>
      <c r="AJ835" s="2"/>
      <c r="AK835" s="2"/>
    </row>
    <row r="836" spans="2:37">
      <c r="B836" s="324" t="s">
        <v>35</v>
      </c>
      <c r="C836" s="324"/>
      <c r="D836" s="331">
        <f>SUM([1]C08!$C$255:$C$266)</f>
        <v>0</v>
      </c>
      <c r="E836" s="327"/>
      <c r="F836" s="748">
        <f>SUM([1]C08!$D$255:$D$266)</f>
        <v>0</v>
      </c>
      <c r="G836" s="735"/>
      <c r="H836" s="332">
        <f t="shared" si="87"/>
        <v>0</v>
      </c>
      <c r="J836" s="748">
        <f>SUM([1]C08!$E$255:$E$266)</f>
        <v>0</v>
      </c>
      <c r="K836" s="735"/>
      <c r="L836" s="332">
        <f t="shared" si="88"/>
        <v>0</v>
      </c>
      <c r="M836" s="2"/>
      <c r="N836" s="2"/>
      <c r="O836" s="2"/>
      <c r="P836" s="2"/>
      <c r="Q836" s="2"/>
      <c r="R836" s="2"/>
      <c r="S836" s="2"/>
      <c r="T836" s="2"/>
      <c r="U836" s="2"/>
      <c r="V836" s="2"/>
      <c r="W836" s="2"/>
      <c r="X836" s="2"/>
      <c r="Y836" s="2"/>
      <c r="Z836" s="2"/>
      <c r="AA836" s="2"/>
      <c r="AB836" s="2"/>
      <c r="AC836" s="2"/>
      <c r="AD836" s="2"/>
      <c r="AE836" s="2"/>
      <c r="AF836" s="2"/>
      <c r="AG836" s="2"/>
      <c r="AH836" s="2"/>
      <c r="AI836" s="2"/>
      <c r="AJ836" s="2"/>
      <c r="AK836" s="2"/>
    </row>
    <row r="837" spans="2:37">
      <c r="B837" s="1" t="s">
        <v>140</v>
      </c>
      <c r="C837" s="333"/>
      <c r="D837" s="334">
        <f>SUM([1]C011!$C$154:$C$165)</f>
        <v>0</v>
      </c>
      <c r="E837" s="327"/>
      <c r="F837" s="671">
        <f>SUM([1]C011!$D$154:$D$165)</f>
        <v>0</v>
      </c>
      <c r="G837" s="653"/>
      <c r="H837" s="330">
        <f t="shared" si="87"/>
        <v>0</v>
      </c>
      <c r="J837" s="672">
        <f>SUM([1]C011!$E$154:$E$165)</f>
        <v>0</v>
      </c>
      <c r="K837" s="673"/>
      <c r="L837" s="330">
        <f t="shared" si="88"/>
        <v>0</v>
      </c>
      <c r="M837" s="2"/>
      <c r="N837" s="2"/>
      <c r="O837" s="2"/>
      <c r="P837" s="2"/>
      <c r="Q837" s="2"/>
      <c r="R837" s="2"/>
      <c r="S837" s="2"/>
      <c r="T837" s="2"/>
      <c r="U837" s="2"/>
      <c r="V837" s="2"/>
      <c r="W837" s="2"/>
      <c r="X837" s="2"/>
      <c r="Y837" s="2"/>
      <c r="Z837" s="2"/>
      <c r="AA837" s="2"/>
      <c r="AB837" s="2"/>
      <c r="AC837" s="2"/>
      <c r="AD837" s="2"/>
      <c r="AE837" s="2"/>
      <c r="AF837" s="2"/>
      <c r="AG837" s="2"/>
      <c r="AH837" s="2"/>
      <c r="AI837" s="2"/>
      <c r="AJ837" s="2"/>
      <c r="AK837" s="2"/>
    </row>
    <row r="838" spans="2:37">
      <c r="B838" s="324" t="s">
        <v>277</v>
      </c>
      <c r="C838" s="335"/>
      <c r="D838" s="331">
        <f>SUM([1]C013!$C$155:$C$166)</f>
        <v>0</v>
      </c>
      <c r="E838" s="327"/>
      <c r="F838" s="656">
        <f>SUM([1]C013!$D$155:$D$166)</f>
        <v>0</v>
      </c>
      <c r="G838" s="655"/>
      <c r="H838" s="332">
        <f t="shared" si="87"/>
        <v>0</v>
      </c>
      <c r="J838" s="674">
        <f>SUM([1]C013!$E$155:$E$166)</f>
        <v>0</v>
      </c>
      <c r="K838" s="675"/>
      <c r="L838" s="332">
        <f t="shared" si="88"/>
        <v>0</v>
      </c>
      <c r="M838" s="2"/>
      <c r="N838" s="2"/>
      <c r="O838" s="2"/>
      <c r="P838" s="2"/>
      <c r="Q838" s="2"/>
      <c r="R838" s="2"/>
      <c r="S838" s="2"/>
      <c r="T838" s="2"/>
      <c r="U838" s="2"/>
      <c r="V838" s="2"/>
      <c r="W838" s="2"/>
      <c r="X838" s="2"/>
      <c r="Y838" s="2"/>
      <c r="Z838" s="2"/>
      <c r="AA838" s="2"/>
      <c r="AB838" s="2"/>
      <c r="AC838" s="2"/>
      <c r="AD838" s="2"/>
      <c r="AE838" s="2"/>
      <c r="AF838" s="2"/>
      <c r="AG838" s="2"/>
      <c r="AH838" s="2"/>
      <c r="AI838" s="2"/>
      <c r="AJ838" s="2"/>
      <c r="AK838" s="2"/>
    </row>
    <row r="839" spans="2:37">
      <c r="B839" s="1" t="s">
        <v>39</v>
      </c>
      <c r="C839" s="1"/>
      <c r="D839" s="334">
        <f>SUM([1]C014!$C$150:$C$161)</f>
        <v>0</v>
      </c>
      <c r="E839" s="327"/>
      <c r="F839" s="671">
        <f>SUM([1]C014!$D$150:$D$161)</f>
        <v>0</v>
      </c>
      <c r="G839" s="653"/>
      <c r="H839" s="330">
        <f t="shared" si="87"/>
        <v>0</v>
      </c>
      <c r="J839" s="671">
        <f>SUM([1]C014!$E$150:$E$161)</f>
        <v>0</v>
      </c>
      <c r="K839" s="653"/>
      <c r="L839" s="330">
        <f t="shared" si="88"/>
        <v>0</v>
      </c>
      <c r="M839" s="2"/>
      <c r="N839" s="2"/>
      <c r="O839" s="2"/>
      <c r="P839" s="2"/>
      <c r="Q839" s="2"/>
      <c r="R839" s="2"/>
      <c r="S839" s="2"/>
      <c r="T839" s="2"/>
      <c r="U839" s="2"/>
      <c r="V839" s="2"/>
      <c r="W839" s="2"/>
      <c r="X839" s="2"/>
      <c r="Y839" s="2"/>
      <c r="Z839" s="2"/>
      <c r="AA839" s="2"/>
      <c r="AB839" s="2"/>
      <c r="AC839" s="2"/>
      <c r="AD839" s="2"/>
      <c r="AE839" s="2"/>
      <c r="AF839" s="2"/>
      <c r="AG839" s="2"/>
      <c r="AH839" s="2"/>
      <c r="AI839" s="2"/>
      <c r="AJ839" s="2"/>
      <c r="AK839" s="2"/>
    </row>
    <row r="840" spans="2:37">
      <c r="B840" s="324" t="s">
        <v>40</v>
      </c>
      <c r="C840" s="324"/>
      <c r="D840" s="331">
        <f>SUM([1]C015!$C$146:$C$157)</f>
        <v>0</v>
      </c>
      <c r="E840" s="327"/>
      <c r="F840" s="656">
        <f>SUM([1]C015!$D$146:$D$157)</f>
        <v>0</v>
      </c>
      <c r="G840" s="655"/>
      <c r="H840" s="332">
        <f t="shared" si="87"/>
        <v>0</v>
      </c>
      <c r="J840" s="656">
        <f>SUM([1]C015!$E$146:$E$157)</f>
        <v>0</v>
      </c>
      <c r="K840" s="655"/>
      <c r="L840" s="332">
        <f t="shared" si="88"/>
        <v>0</v>
      </c>
      <c r="M840" s="2"/>
      <c r="N840" s="2"/>
      <c r="O840" s="2"/>
      <c r="P840" s="2"/>
      <c r="Q840" s="2"/>
      <c r="R840" s="2"/>
      <c r="S840" s="2"/>
      <c r="T840" s="2"/>
      <c r="U840" s="2"/>
      <c r="V840" s="2"/>
      <c r="W840" s="2"/>
      <c r="X840" s="2"/>
      <c r="Y840" s="2"/>
      <c r="Z840" s="2"/>
      <c r="AA840" s="2"/>
      <c r="AB840" s="2"/>
      <c r="AC840" s="2"/>
      <c r="AD840" s="2"/>
      <c r="AE840" s="2"/>
      <c r="AF840" s="2"/>
      <c r="AG840" s="2"/>
      <c r="AH840" s="2"/>
      <c r="AI840" s="2"/>
      <c r="AJ840" s="2"/>
      <c r="AK840" s="2"/>
    </row>
    <row r="841" spans="2:37">
      <c r="B841" s="1" t="s">
        <v>41</v>
      </c>
      <c r="C841" s="1"/>
      <c r="D841" s="334">
        <f>SUM([1]C016!$C$122:$C$123)</f>
        <v>0</v>
      </c>
      <c r="E841" s="327"/>
      <c r="F841" s="671">
        <f>SUM([1]C016!$D$122:$D$123)</f>
        <v>0</v>
      </c>
      <c r="G841" s="653"/>
      <c r="H841" s="330">
        <f t="shared" si="87"/>
        <v>0</v>
      </c>
      <c r="J841" s="671">
        <f>SUM([1]C016!$E$122:$E$123)</f>
        <v>0</v>
      </c>
      <c r="K841" s="653"/>
      <c r="L841" s="330">
        <f t="shared" si="88"/>
        <v>0</v>
      </c>
      <c r="M841" s="2"/>
      <c r="N841" s="2"/>
      <c r="O841" s="2"/>
      <c r="P841" s="2"/>
      <c r="Q841" s="2"/>
      <c r="R841" s="2"/>
      <c r="S841" s="2"/>
      <c r="T841" s="2"/>
      <c r="U841" s="2"/>
      <c r="V841" s="2"/>
      <c r="W841" s="2"/>
      <c r="X841" s="2"/>
      <c r="Y841" s="2"/>
      <c r="Z841" s="2"/>
      <c r="AA841" s="2"/>
      <c r="AB841" s="2"/>
      <c r="AC841" s="2"/>
      <c r="AD841" s="2"/>
      <c r="AE841" s="2"/>
      <c r="AF841" s="2"/>
      <c r="AG841" s="2"/>
      <c r="AH841" s="2"/>
      <c r="AI841" s="2"/>
      <c r="AJ841" s="2"/>
      <c r="AK841" s="2"/>
    </row>
    <row r="842" spans="2:37">
      <c r="B842" s="324" t="s">
        <v>70</v>
      </c>
      <c r="C842" s="324"/>
      <c r="D842" s="331">
        <f>SUM([1]C018!$C$154:$C$165)</f>
        <v>0</v>
      </c>
      <c r="E842" s="327"/>
      <c r="F842" s="656">
        <f>SUM([1]C018!$D$154:$D$165)</f>
        <v>0</v>
      </c>
      <c r="G842" s="655"/>
      <c r="H842" s="332">
        <f t="shared" si="87"/>
        <v>0</v>
      </c>
      <c r="J842" s="656">
        <f>SUM([1]C018!$E$154:$E$165)</f>
        <v>0</v>
      </c>
      <c r="K842" s="655"/>
      <c r="L842" s="332">
        <f t="shared" si="88"/>
        <v>0</v>
      </c>
      <c r="M842" s="2"/>
      <c r="N842" s="167"/>
      <c r="O842" s="2"/>
      <c r="P842" s="2"/>
      <c r="Q842" s="2"/>
      <c r="R842" s="2"/>
      <c r="S842" s="2"/>
      <c r="T842" s="2"/>
      <c r="U842" s="2"/>
      <c r="V842" s="2"/>
      <c r="W842" s="2"/>
      <c r="X842" s="2"/>
      <c r="Y842" s="2"/>
      <c r="Z842" s="2"/>
      <c r="AA842" s="2"/>
      <c r="AB842" s="2"/>
      <c r="AC842" s="2"/>
      <c r="AD842" s="2"/>
      <c r="AE842" s="2"/>
      <c r="AF842" s="2"/>
      <c r="AG842" s="2"/>
      <c r="AH842" s="2"/>
      <c r="AI842" s="2"/>
      <c r="AJ842" s="2"/>
      <c r="AK842" s="2"/>
    </row>
    <row r="843" spans="2:37">
      <c r="B843" s="1" t="s">
        <v>43</v>
      </c>
      <c r="C843" s="1"/>
      <c r="D843" s="336">
        <v>0</v>
      </c>
      <c r="E843" s="327"/>
      <c r="F843" s="652">
        <v>0</v>
      </c>
      <c r="G843" s="653"/>
      <c r="H843" s="330">
        <f t="shared" si="87"/>
        <v>0</v>
      </c>
      <c r="J843" s="652">
        <v>0</v>
      </c>
      <c r="K843" s="653"/>
      <c r="L843" s="330">
        <f t="shared" si="88"/>
        <v>0</v>
      </c>
      <c r="M843" s="2"/>
      <c r="N843" s="2"/>
      <c r="O843" s="2"/>
      <c r="P843" s="2"/>
      <c r="Q843" s="2"/>
      <c r="R843" s="2"/>
      <c r="S843" s="2"/>
      <c r="T843" s="2"/>
      <c r="U843" s="2"/>
      <c r="V843" s="2"/>
      <c r="W843" s="2"/>
      <c r="X843" s="2"/>
      <c r="Y843" s="2"/>
      <c r="Z843" s="2"/>
      <c r="AA843" s="2"/>
      <c r="AB843" s="2"/>
      <c r="AC843" s="2"/>
      <c r="AD843" s="2"/>
      <c r="AE843" s="2"/>
      <c r="AF843" s="2"/>
      <c r="AG843" s="2"/>
      <c r="AH843" s="2"/>
      <c r="AI843" s="2"/>
      <c r="AJ843" s="2"/>
      <c r="AK843" s="2"/>
    </row>
    <row r="844" spans="2:37">
      <c r="B844" s="324" t="s">
        <v>44</v>
      </c>
      <c r="C844" s="324"/>
      <c r="D844" s="331">
        <f>SUM([1]C022!$C$146:$C$157)</f>
        <v>0</v>
      </c>
      <c r="E844" s="327"/>
      <c r="F844" s="656">
        <f>SUM([1]C022!$D$146:$D$157)</f>
        <v>0</v>
      </c>
      <c r="G844" s="655"/>
      <c r="H844" s="332">
        <f t="shared" si="87"/>
        <v>0</v>
      </c>
      <c r="J844" s="656">
        <f>SUM([1]C022!$E$146:$E$157)</f>
        <v>0</v>
      </c>
      <c r="K844" s="655"/>
      <c r="L844" s="332">
        <f t="shared" si="88"/>
        <v>0</v>
      </c>
      <c r="M844" s="2"/>
      <c r="N844" s="2"/>
      <c r="O844" s="2"/>
      <c r="P844" s="2"/>
      <c r="Q844" s="2"/>
      <c r="R844" s="2"/>
      <c r="S844" s="2"/>
      <c r="T844" s="2"/>
      <c r="U844" s="2"/>
      <c r="V844" s="2"/>
      <c r="W844" s="2"/>
      <c r="X844" s="2"/>
      <c r="Y844" s="2"/>
      <c r="Z844" s="2"/>
      <c r="AA844" s="2"/>
      <c r="AB844" s="2"/>
      <c r="AC844" s="2"/>
      <c r="AD844" s="2"/>
      <c r="AE844" s="2"/>
      <c r="AF844" s="2"/>
      <c r="AG844" s="2"/>
      <c r="AH844" s="2"/>
      <c r="AI844" s="2"/>
      <c r="AJ844" s="2"/>
      <c r="AK844" s="2"/>
    </row>
    <row r="845" spans="2:37">
      <c r="B845" s="1" t="s">
        <v>45</v>
      </c>
      <c r="C845" s="337"/>
      <c r="D845" s="336">
        <v>0</v>
      </c>
      <c r="E845" s="327"/>
      <c r="F845" s="652">
        <v>0</v>
      </c>
      <c r="G845" s="653"/>
      <c r="H845" s="330">
        <f t="shared" si="87"/>
        <v>0</v>
      </c>
      <c r="J845" s="652">
        <v>0</v>
      </c>
      <c r="K845" s="653"/>
      <c r="L845" s="330">
        <f t="shared" si="88"/>
        <v>0</v>
      </c>
      <c r="M845" s="2"/>
      <c r="N845" s="2"/>
      <c r="O845" s="2"/>
      <c r="P845" s="2"/>
      <c r="Q845" s="2"/>
      <c r="R845" s="2"/>
      <c r="S845" s="2"/>
      <c r="T845" s="2"/>
      <c r="U845" s="2"/>
      <c r="V845" s="2"/>
      <c r="W845" s="2"/>
      <c r="X845" s="2"/>
      <c r="Y845" s="2"/>
      <c r="Z845" s="2"/>
      <c r="AA845" s="2"/>
      <c r="AB845" s="2"/>
      <c r="AC845" s="2"/>
      <c r="AD845" s="2"/>
      <c r="AE845" s="2"/>
      <c r="AF845" s="2"/>
      <c r="AG845" s="2"/>
      <c r="AH845" s="2"/>
      <c r="AI845" s="2"/>
      <c r="AJ845" s="2"/>
      <c r="AK845" s="2"/>
    </row>
    <row r="846" spans="2:37">
      <c r="B846" s="324" t="s">
        <v>46</v>
      </c>
      <c r="C846" s="338">
        <v>26</v>
      </c>
      <c r="D846" s="331">
        <f>SUM([1]C026!$C$70:$C$81)</f>
        <v>0</v>
      </c>
      <c r="E846" s="327"/>
      <c r="F846" s="656">
        <f>SUM([1]C026!$D$70:$D$81)</f>
        <v>0</v>
      </c>
      <c r="G846" s="655"/>
      <c r="H846" s="332">
        <f t="shared" si="87"/>
        <v>0</v>
      </c>
      <c r="J846" s="656">
        <f>SUM([1]C026!$E$70:$E$81)</f>
        <v>0</v>
      </c>
      <c r="K846" s="655"/>
      <c r="L846" s="332">
        <f t="shared" si="88"/>
        <v>0</v>
      </c>
      <c r="M846" s="2"/>
      <c r="N846" s="2"/>
      <c r="O846" s="2"/>
      <c r="P846" s="2"/>
      <c r="Q846" s="2"/>
      <c r="R846" s="2"/>
      <c r="S846" s="2"/>
      <c r="T846" s="2"/>
      <c r="U846" s="2"/>
      <c r="V846" s="2"/>
      <c r="W846" s="2"/>
      <c r="X846" s="2"/>
      <c r="Y846" s="2"/>
      <c r="Z846" s="2"/>
      <c r="AA846" s="2"/>
      <c r="AB846" s="2"/>
      <c r="AC846" s="2"/>
      <c r="AD846" s="2"/>
      <c r="AE846" s="2"/>
      <c r="AF846" s="2"/>
      <c r="AG846" s="2"/>
      <c r="AH846" s="2"/>
      <c r="AI846" s="2"/>
      <c r="AJ846" s="2"/>
      <c r="AK846" s="2"/>
    </row>
    <row r="847" spans="2:37">
      <c r="B847" s="1" t="s">
        <v>47</v>
      </c>
      <c r="C847" s="337">
        <v>28</v>
      </c>
      <c r="D847" s="334">
        <f>SUM([1]C028!$C$90:$C$101)</f>
        <v>0</v>
      </c>
      <c r="E847" s="327"/>
      <c r="F847" s="671">
        <f>SUM([1]C028!$D$90:$D$101)</f>
        <v>0</v>
      </c>
      <c r="G847" s="653"/>
      <c r="H847" s="330">
        <f t="shared" si="87"/>
        <v>0</v>
      </c>
      <c r="J847" s="671">
        <f>SUM([1]C028!$E$90:$E$101)</f>
        <v>0</v>
      </c>
      <c r="K847" s="653"/>
      <c r="L847" s="330">
        <f t="shared" si="88"/>
        <v>0</v>
      </c>
      <c r="M847" s="2"/>
      <c r="N847" s="2"/>
      <c r="O847" s="2"/>
      <c r="P847" s="2"/>
      <c r="Q847" s="2"/>
      <c r="R847" s="2"/>
      <c r="S847" s="2"/>
      <c r="T847" s="2"/>
      <c r="U847" s="2"/>
      <c r="V847" s="2"/>
      <c r="W847" s="2"/>
      <c r="X847" s="2"/>
      <c r="Y847" s="2"/>
      <c r="Z847" s="2"/>
      <c r="AA847" s="2"/>
      <c r="AB847" s="2"/>
      <c r="AC847" s="2"/>
      <c r="AD847" s="2"/>
      <c r="AE847" s="2"/>
      <c r="AF847" s="2"/>
      <c r="AG847" s="2"/>
      <c r="AH847" s="2"/>
      <c r="AI847" s="2"/>
      <c r="AJ847" s="2"/>
      <c r="AK847" s="2"/>
    </row>
    <row r="848" spans="2:37">
      <c r="B848" s="324" t="s">
        <v>48</v>
      </c>
      <c r="C848" s="338"/>
      <c r="D848" s="331">
        <f>SUM([1]C029!$C$156:$C$167)</f>
        <v>0</v>
      </c>
      <c r="E848" s="327"/>
      <c r="F848" s="656">
        <f>SUM([1]C029!$D$156:$D$167)</f>
        <v>0</v>
      </c>
      <c r="G848" s="655"/>
      <c r="H848" s="332">
        <f t="shared" si="87"/>
        <v>0</v>
      </c>
      <c r="J848" s="656">
        <f>SUM([1]C029!$E$156:$E$167)</f>
        <v>0</v>
      </c>
      <c r="K848" s="655"/>
      <c r="L848" s="332">
        <f t="shared" si="88"/>
        <v>0</v>
      </c>
      <c r="M848" s="2"/>
      <c r="N848" s="2"/>
      <c r="O848" s="2"/>
      <c r="P848" s="2"/>
      <c r="Q848" s="2"/>
      <c r="R848" s="2"/>
      <c r="S848" s="2"/>
      <c r="T848" s="2"/>
      <c r="U848" s="2"/>
      <c r="V848" s="2"/>
      <c r="W848" s="2"/>
      <c r="X848" s="2"/>
      <c r="Y848" s="2"/>
      <c r="Z848" s="2"/>
      <c r="AA848" s="2"/>
      <c r="AB848" s="2"/>
      <c r="AC848" s="2"/>
      <c r="AD848" s="2"/>
      <c r="AE848" s="2"/>
      <c r="AF848" s="2"/>
      <c r="AG848" s="2"/>
      <c r="AH848" s="2"/>
      <c r="AI848" s="2"/>
      <c r="AJ848" s="2"/>
      <c r="AK848" s="2"/>
    </row>
    <row r="849" spans="2:37">
      <c r="B849" s="1" t="s">
        <v>37</v>
      </c>
      <c r="C849" s="337"/>
      <c r="D849" s="334">
        <f>SUM([1]C030!$C$227:$C$238)</f>
        <v>0</v>
      </c>
      <c r="E849" s="327"/>
      <c r="F849" s="671">
        <f>SUM([1]C030!$D$227:$D$238)</f>
        <v>0</v>
      </c>
      <c r="G849" s="653"/>
      <c r="H849" s="330">
        <f t="shared" si="87"/>
        <v>0</v>
      </c>
      <c r="J849" s="671">
        <f>SUM([1]C030!$E$227:$E$238)</f>
        <v>0</v>
      </c>
      <c r="K849" s="653"/>
      <c r="L849" s="330">
        <f t="shared" si="88"/>
        <v>0</v>
      </c>
      <c r="M849" s="2"/>
      <c r="N849" s="2"/>
      <c r="O849" s="2"/>
      <c r="P849" s="2"/>
      <c r="Q849" s="2"/>
      <c r="R849" s="2"/>
      <c r="S849" s="2"/>
      <c r="T849" s="2"/>
      <c r="U849" s="2"/>
      <c r="V849" s="2"/>
      <c r="W849" s="2"/>
      <c r="X849" s="2"/>
      <c r="Y849" s="2"/>
      <c r="Z849" s="2"/>
      <c r="AA849" s="2"/>
      <c r="AB849" s="2"/>
      <c r="AC849" s="2"/>
      <c r="AD849" s="2"/>
      <c r="AE849" s="2"/>
      <c r="AF849" s="2"/>
      <c r="AG849" s="2"/>
      <c r="AH849" s="2"/>
      <c r="AI849" s="2"/>
      <c r="AJ849" s="2"/>
      <c r="AK849" s="2"/>
    </row>
    <row r="850" spans="2:37">
      <c r="B850" s="324" t="s">
        <v>49</v>
      </c>
      <c r="C850" s="338"/>
      <c r="D850" s="339">
        <v>0</v>
      </c>
      <c r="E850" s="327"/>
      <c r="F850" s="654">
        <v>0</v>
      </c>
      <c r="G850" s="655"/>
      <c r="H850" s="332">
        <f t="shared" si="87"/>
        <v>0</v>
      </c>
      <c r="J850" s="654">
        <v>0</v>
      </c>
      <c r="K850" s="655"/>
      <c r="L850" s="332">
        <f t="shared" si="88"/>
        <v>0</v>
      </c>
      <c r="M850" s="2"/>
      <c r="N850" s="2"/>
      <c r="O850" s="2"/>
      <c r="P850" s="2"/>
      <c r="Q850" s="2"/>
      <c r="R850" s="2"/>
      <c r="S850" s="2"/>
      <c r="T850" s="2"/>
      <c r="U850" s="2"/>
      <c r="V850" s="2"/>
      <c r="W850" s="2"/>
      <c r="X850" s="2"/>
      <c r="Y850" s="2"/>
      <c r="Z850" s="2"/>
      <c r="AA850" s="2"/>
      <c r="AB850" s="2"/>
      <c r="AC850" s="2"/>
      <c r="AD850" s="2"/>
      <c r="AE850" s="2"/>
      <c r="AF850" s="2"/>
      <c r="AG850" s="2"/>
      <c r="AH850" s="2"/>
      <c r="AI850" s="2"/>
      <c r="AJ850" s="2"/>
      <c r="AK850" s="2"/>
    </row>
    <row r="851" spans="2:37">
      <c r="B851" s="370" t="str">
        <f>B338</f>
        <v>Career and Postsecondary Ed.</v>
      </c>
      <c r="C851" s="337"/>
      <c r="D851" s="334">
        <f>SUM([1]C034!$C$166:$C$177)</f>
        <v>0</v>
      </c>
      <c r="E851" s="327"/>
      <c r="F851" s="671">
        <f>SUM([1]C034!$D$166:$D$177)</f>
        <v>0</v>
      </c>
      <c r="G851" s="653"/>
      <c r="H851" s="330">
        <f t="shared" si="87"/>
        <v>0</v>
      </c>
      <c r="J851" s="671">
        <f>SUM([1]C034!$E$166:$E$177)</f>
        <v>0</v>
      </c>
      <c r="K851" s="653"/>
      <c r="L851" s="330">
        <f t="shared" si="88"/>
        <v>0</v>
      </c>
      <c r="M851" s="2"/>
      <c r="N851" s="2"/>
      <c r="O851" s="2"/>
      <c r="P851" s="2"/>
      <c r="Q851" s="2"/>
      <c r="R851" s="2"/>
      <c r="S851" s="2"/>
      <c r="T851" s="2"/>
      <c r="U851" s="2"/>
      <c r="V851" s="2"/>
      <c r="W851" s="2"/>
      <c r="X851" s="2"/>
      <c r="Y851" s="2"/>
      <c r="Z851" s="2"/>
      <c r="AA851" s="2"/>
      <c r="AB851" s="2"/>
      <c r="AC851" s="2"/>
      <c r="AD851" s="2"/>
      <c r="AE851" s="2"/>
      <c r="AF851" s="2"/>
      <c r="AG851" s="2"/>
      <c r="AH851" s="2"/>
      <c r="AI851" s="2"/>
      <c r="AJ851" s="2"/>
      <c r="AK851" s="2"/>
    </row>
    <row r="852" spans="2:37" ht="15.75">
      <c r="B852" s="324" t="s">
        <v>178</v>
      </c>
      <c r="C852" s="338"/>
      <c r="D852" s="331">
        <f>SUM([1]C035!$C$199:$C$210)</f>
        <v>0</v>
      </c>
      <c r="E852" s="327"/>
      <c r="F852" s="656">
        <f>SUM([1]C035!$D$199:$D$210)</f>
        <v>0</v>
      </c>
      <c r="G852" s="655"/>
      <c r="H852" s="332">
        <f t="shared" si="87"/>
        <v>0</v>
      </c>
      <c r="J852" s="656">
        <f>SUM([1]C035!$E$199:$E$210)</f>
        <v>0</v>
      </c>
      <c r="K852" s="655"/>
      <c r="L852" s="332">
        <f t="shared" si="88"/>
        <v>0</v>
      </c>
      <c r="M852" s="2"/>
      <c r="N852" s="2"/>
      <c r="O852" s="2"/>
      <c r="P852" s="2"/>
      <c r="Q852" s="2"/>
      <c r="R852" s="2"/>
      <c r="S852" s="2"/>
      <c r="T852" s="2"/>
      <c r="U852" s="2"/>
      <c r="V852" s="2"/>
      <c r="W852" s="2"/>
      <c r="X852" s="2"/>
      <c r="Y852" s="2"/>
      <c r="Z852" s="2"/>
      <c r="AA852" s="2"/>
      <c r="AB852" s="2"/>
      <c r="AC852" s="2"/>
      <c r="AD852" s="2"/>
      <c r="AE852" s="2"/>
      <c r="AF852" s="2"/>
      <c r="AG852" s="2"/>
      <c r="AH852" s="2"/>
      <c r="AI852" s="2"/>
      <c r="AJ852" s="2"/>
      <c r="AK852" s="2"/>
    </row>
    <row r="853" spans="2:37">
      <c r="B853" s="1" t="s">
        <v>71</v>
      </c>
      <c r="C853" s="337">
        <v>42</v>
      </c>
      <c r="D853" s="336">
        <v>0</v>
      </c>
      <c r="E853" s="327"/>
      <c r="F853" s="652">
        <v>0</v>
      </c>
      <c r="G853" s="653"/>
      <c r="H853" s="330">
        <f t="shared" si="87"/>
        <v>0</v>
      </c>
      <c r="J853" s="652">
        <v>0</v>
      </c>
      <c r="K853" s="653"/>
      <c r="L853" s="330">
        <f t="shared" si="88"/>
        <v>0</v>
      </c>
      <c r="M853" s="2"/>
      <c r="N853" s="2"/>
      <c r="O853" s="2"/>
      <c r="P853" s="2"/>
      <c r="Q853" s="2"/>
      <c r="R853" s="2"/>
      <c r="S853" s="2"/>
      <c r="T853" s="2"/>
      <c r="U853" s="2"/>
      <c r="V853" s="2"/>
      <c r="W853" s="2"/>
      <c r="X853" s="2"/>
      <c r="Y853" s="2"/>
      <c r="Z853" s="2"/>
      <c r="AA853" s="2"/>
      <c r="AB853" s="2"/>
      <c r="AC853" s="2"/>
      <c r="AD853" s="2"/>
      <c r="AE853" s="2"/>
      <c r="AF853" s="2"/>
      <c r="AG853" s="2"/>
      <c r="AH853" s="2"/>
      <c r="AI853" s="2"/>
      <c r="AJ853" s="2"/>
      <c r="AK853" s="2"/>
    </row>
    <row r="854" spans="2:37">
      <c r="B854" s="324" t="s">
        <v>51</v>
      </c>
      <c r="C854" s="338">
        <v>44</v>
      </c>
      <c r="D854" s="339">
        <v>0</v>
      </c>
      <c r="E854" s="327"/>
      <c r="F854" s="654">
        <v>0</v>
      </c>
      <c r="G854" s="655"/>
      <c r="H854" s="332">
        <f t="shared" si="87"/>
        <v>0</v>
      </c>
      <c r="J854" s="654">
        <v>0</v>
      </c>
      <c r="K854" s="655"/>
      <c r="L854" s="332">
        <f t="shared" si="88"/>
        <v>0</v>
      </c>
      <c r="M854" s="2"/>
      <c r="N854" s="2"/>
      <c r="O854" s="2"/>
      <c r="P854" s="2"/>
      <c r="Q854" s="2"/>
      <c r="R854" s="2"/>
      <c r="S854" s="2"/>
      <c r="T854" s="2"/>
      <c r="U854" s="2"/>
      <c r="V854" s="2"/>
      <c r="W854" s="2"/>
      <c r="X854" s="2"/>
      <c r="Y854" s="2"/>
      <c r="Z854" s="2"/>
      <c r="AA854" s="2"/>
      <c r="AB854" s="2"/>
      <c r="AC854" s="2"/>
      <c r="AD854" s="2"/>
      <c r="AE854" s="2"/>
      <c r="AF854" s="2"/>
      <c r="AG854" s="2"/>
      <c r="AH854" s="2"/>
      <c r="AI854" s="2"/>
      <c r="AJ854" s="2"/>
      <c r="AK854" s="2"/>
    </row>
    <row r="855" spans="2:37">
      <c r="B855" s="45" t="s">
        <v>52</v>
      </c>
      <c r="C855" s="340">
        <v>45</v>
      </c>
      <c r="D855" s="341">
        <v>0</v>
      </c>
      <c r="E855" s="327"/>
      <c r="F855" s="652">
        <v>0</v>
      </c>
      <c r="G855" s="653"/>
      <c r="H855" s="330">
        <f t="shared" si="87"/>
        <v>0</v>
      </c>
      <c r="J855" s="652">
        <v>0</v>
      </c>
      <c r="K855" s="653"/>
      <c r="L855" s="330">
        <f t="shared" si="88"/>
        <v>0</v>
      </c>
      <c r="M855" s="2"/>
      <c r="N855" s="2"/>
      <c r="O855" s="2"/>
      <c r="P855" s="2"/>
      <c r="Q855" s="2"/>
      <c r="R855" s="2"/>
      <c r="S855" s="2"/>
      <c r="T855" s="2"/>
      <c r="U855" s="2"/>
      <c r="V855" s="2"/>
      <c r="W855" s="2"/>
      <c r="X855" s="2"/>
      <c r="Y855" s="2"/>
      <c r="Z855" s="2"/>
      <c r="AA855" s="2"/>
      <c r="AB855" s="2"/>
      <c r="AC855" s="2"/>
      <c r="AD855" s="2"/>
      <c r="AE855" s="2"/>
      <c r="AF855" s="2"/>
      <c r="AG855" s="2"/>
      <c r="AH855" s="2"/>
      <c r="AI855" s="2"/>
      <c r="AJ855" s="2"/>
      <c r="AK855" s="2"/>
    </row>
    <row r="856" spans="2:37">
      <c r="B856" s="342" t="s">
        <v>72</v>
      </c>
      <c r="C856" s="343">
        <v>46</v>
      </c>
      <c r="D856" s="344">
        <v>0</v>
      </c>
      <c r="E856" s="327"/>
      <c r="F856" s="654">
        <v>0</v>
      </c>
      <c r="G856" s="655"/>
      <c r="H856" s="332">
        <f t="shared" si="87"/>
        <v>0</v>
      </c>
      <c r="J856" s="676"/>
      <c r="K856" s="677"/>
      <c r="L856" s="345"/>
      <c r="M856" s="2"/>
      <c r="N856" s="2"/>
      <c r="O856" s="2"/>
      <c r="P856" s="2"/>
      <c r="Q856" s="2"/>
      <c r="R856" s="2"/>
      <c r="S856" s="2"/>
      <c r="T856" s="2"/>
      <c r="U856" s="2"/>
      <c r="V856" s="2"/>
      <c r="W856" s="2"/>
      <c r="X856" s="2"/>
      <c r="Y856" s="2"/>
      <c r="Z856" s="2"/>
      <c r="AA856" s="2"/>
      <c r="AB856" s="2"/>
      <c r="AC856" s="2"/>
      <c r="AD856" s="2"/>
      <c r="AE856" s="2"/>
      <c r="AF856" s="2"/>
      <c r="AG856" s="2"/>
      <c r="AH856" s="2"/>
      <c r="AI856" s="2"/>
      <c r="AJ856" s="2"/>
      <c r="AK856" s="2"/>
    </row>
    <row r="857" spans="2:37">
      <c r="B857" s="45" t="s">
        <v>54</v>
      </c>
      <c r="C857" s="340"/>
      <c r="D857" s="329">
        <f>SUM([1]C051!$C$35)</f>
        <v>0</v>
      </c>
      <c r="E857" s="327"/>
      <c r="F857" s="671">
        <f>SUM([1]C051!$D$35)</f>
        <v>0</v>
      </c>
      <c r="G857" s="653"/>
      <c r="H857" s="330">
        <f t="shared" si="87"/>
        <v>0</v>
      </c>
      <c r="J857" s="671">
        <f>SUM([1]C051!$E$35)</f>
        <v>0</v>
      </c>
      <c r="K857" s="653"/>
      <c r="L857" s="330">
        <f>IF(F857=0,0,((J857-F857)/F857))</f>
        <v>0</v>
      </c>
      <c r="M857" s="2"/>
      <c r="N857" s="2"/>
      <c r="O857" s="2"/>
      <c r="P857" s="2"/>
      <c r="Q857" s="2"/>
      <c r="R857" s="2"/>
      <c r="S857" s="2"/>
      <c r="T857" s="2"/>
      <c r="U857" s="2"/>
      <c r="V857" s="2"/>
      <c r="W857" s="2"/>
      <c r="X857" s="2"/>
      <c r="Y857" s="2"/>
      <c r="Z857" s="2"/>
      <c r="AA857" s="2"/>
      <c r="AB857" s="2"/>
      <c r="AC857" s="2"/>
      <c r="AD857" s="2"/>
      <c r="AE857" s="2"/>
      <c r="AF857" s="2"/>
      <c r="AG857" s="2"/>
      <c r="AH857" s="2"/>
      <c r="AI857" s="2"/>
      <c r="AJ857" s="2"/>
      <c r="AK857" s="2"/>
    </row>
    <row r="858" spans="2:37" ht="17.25" customHeight="1">
      <c r="B858" s="342" t="s">
        <v>55</v>
      </c>
      <c r="C858" s="343"/>
      <c r="D858" s="346">
        <f>SUM([1]C053!$C$214:$C$225)</f>
        <v>0</v>
      </c>
      <c r="E858" s="327"/>
      <c r="F858" s="656">
        <f>SUM([1]C053!$D$214:$D$225)</f>
        <v>0</v>
      </c>
      <c r="G858" s="655"/>
      <c r="H858" s="332">
        <f t="shared" si="87"/>
        <v>0</v>
      </c>
      <c r="J858" s="678"/>
      <c r="K858" s="679"/>
      <c r="L858" s="347"/>
      <c r="M858" s="2"/>
      <c r="N858" s="2"/>
      <c r="O858" s="2"/>
      <c r="P858" s="2"/>
      <c r="Q858" s="2"/>
      <c r="R858" s="2"/>
      <c r="S858" s="2"/>
      <c r="T858" s="2"/>
      <c r="U858" s="2"/>
      <c r="V858" s="2"/>
      <c r="W858" s="2"/>
      <c r="X858" s="2"/>
      <c r="Y858" s="2"/>
      <c r="Z858" s="2"/>
      <c r="AA858" s="2"/>
      <c r="AB858" s="2"/>
      <c r="AC858" s="2"/>
      <c r="AD858" s="2"/>
      <c r="AE858" s="2"/>
      <c r="AF858" s="2"/>
      <c r="AG858" s="2"/>
      <c r="AH858" s="2"/>
      <c r="AI858" s="2"/>
      <c r="AJ858" s="2"/>
      <c r="AK858" s="2"/>
    </row>
    <row r="859" spans="2:37">
      <c r="B859" s="45" t="s">
        <v>78</v>
      </c>
      <c r="C859" s="340">
        <v>54</v>
      </c>
      <c r="D859" s="341">
        <v>0</v>
      </c>
      <c r="E859" s="327"/>
      <c r="F859" s="652">
        <v>0</v>
      </c>
      <c r="G859" s="653"/>
      <c r="H859" s="330">
        <f t="shared" si="87"/>
        <v>0</v>
      </c>
      <c r="J859" s="680"/>
      <c r="K859" s="681"/>
      <c r="L859" s="348"/>
      <c r="M859" s="2"/>
      <c r="N859" s="2"/>
      <c r="O859" s="2"/>
      <c r="P859" s="2"/>
      <c r="Q859" s="2"/>
      <c r="R859" s="2"/>
      <c r="S859" s="2"/>
      <c r="T859" s="2"/>
      <c r="U859" s="2"/>
      <c r="V859" s="2"/>
      <c r="W859" s="2"/>
      <c r="X859" s="2"/>
      <c r="Y859" s="2"/>
      <c r="Z859" s="2"/>
      <c r="AA859" s="2"/>
      <c r="AB859" s="2"/>
      <c r="AC859" s="2"/>
      <c r="AD859" s="2"/>
      <c r="AE859" s="2"/>
      <c r="AF859" s="2"/>
      <c r="AG859" s="2"/>
      <c r="AH859" s="2"/>
      <c r="AI859" s="2"/>
      <c r="AJ859" s="2"/>
      <c r="AK859" s="2"/>
    </row>
    <row r="860" spans="2:37">
      <c r="B860" s="342" t="s">
        <v>57</v>
      </c>
      <c r="C860" s="343"/>
      <c r="D860" s="344">
        <v>0</v>
      </c>
      <c r="E860" s="327"/>
      <c r="F860" s="654">
        <v>0</v>
      </c>
      <c r="G860" s="655"/>
      <c r="H860" s="332">
        <f t="shared" si="87"/>
        <v>0</v>
      </c>
      <c r="J860" s="682"/>
      <c r="K860" s="683"/>
      <c r="L860" s="349"/>
      <c r="M860" s="2"/>
      <c r="N860" s="2"/>
      <c r="O860" s="2"/>
      <c r="P860" s="2"/>
      <c r="Q860" s="2"/>
      <c r="R860" s="2"/>
      <c r="S860" s="2"/>
      <c r="T860" s="2"/>
      <c r="U860" s="2"/>
      <c r="V860" s="2"/>
      <c r="W860" s="2"/>
      <c r="X860" s="2"/>
      <c r="Y860" s="2"/>
      <c r="Z860" s="2"/>
      <c r="AA860" s="2"/>
      <c r="AB860" s="2"/>
      <c r="AC860" s="2"/>
      <c r="AD860" s="2"/>
      <c r="AE860" s="2"/>
      <c r="AF860" s="2"/>
      <c r="AG860" s="2"/>
      <c r="AH860" s="2"/>
      <c r="AI860" s="2"/>
      <c r="AJ860" s="2"/>
      <c r="AK860" s="2"/>
    </row>
    <row r="861" spans="2:37">
      <c r="B861" s="350" t="str">
        <f>B1118</f>
        <v>Bond and Interest #1</v>
      </c>
      <c r="C861" s="340">
        <v>62</v>
      </c>
      <c r="D861" s="341">
        <v>0</v>
      </c>
      <c r="E861" s="327"/>
      <c r="F861" s="652">
        <v>0</v>
      </c>
      <c r="G861" s="653"/>
      <c r="H861" s="330">
        <f t="shared" si="87"/>
        <v>0</v>
      </c>
      <c r="J861" s="652">
        <v>0</v>
      </c>
      <c r="K861" s="653"/>
      <c r="L861" s="330">
        <f t="shared" ref="L861:L872" si="89">IF(F861=0,0,((J861-F861)/F861))</f>
        <v>0</v>
      </c>
      <c r="M861" s="2"/>
      <c r="N861" s="2"/>
      <c r="O861" s="2"/>
      <c r="P861" s="2"/>
      <c r="Q861" s="2"/>
      <c r="R861" s="2"/>
      <c r="S861" s="2"/>
      <c r="T861" s="2"/>
      <c r="U861" s="2"/>
      <c r="V861" s="2"/>
      <c r="W861" s="2"/>
      <c r="X861" s="2"/>
      <c r="Y861" s="2"/>
      <c r="Z861" s="2"/>
      <c r="AA861" s="2"/>
      <c r="AB861" s="2"/>
      <c r="AC861" s="2"/>
      <c r="AD861" s="2"/>
      <c r="AE861" s="2"/>
      <c r="AF861" s="2"/>
      <c r="AG861" s="2"/>
      <c r="AH861" s="2"/>
      <c r="AI861" s="2"/>
      <c r="AJ861" s="2"/>
      <c r="AK861" s="2"/>
    </row>
    <row r="862" spans="2:37" ht="17.25" customHeight="1">
      <c r="B862" s="351" t="str">
        <f>B1119</f>
        <v>Bond and Interest #2</v>
      </c>
      <c r="C862" s="343">
        <v>63</v>
      </c>
      <c r="D862" s="344">
        <v>0</v>
      </c>
      <c r="E862" s="327"/>
      <c r="F862" s="654">
        <v>0</v>
      </c>
      <c r="G862" s="655"/>
      <c r="H862" s="332">
        <f t="shared" si="87"/>
        <v>0</v>
      </c>
      <c r="J862" s="654">
        <v>0</v>
      </c>
      <c r="K862" s="655"/>
      <c r="L862" s="332">
        <f t="shared" si="89"/>
        <v>0</v>
      </c>
      <c r="M862" s="2"/>
      <c r="N862" s="2"/>
      <c r="O862" s="2"/>
      <c r="P862" s="2"/>
      <c r="Q862" s="2"/>
      <c r="R862" s="2"/>
      <c r="S862" s="2"/>
      <c r="T862" s="2"/>
      <c r="U862" s="2"/>
      <c r="V862" s="2"/>
      <c r="W862" s="2"/>
      <c r="X862" s="2"/>
      <c r="Y862" s="2"/>
      <c r="Z862" s="2"/>
      <c r="AA862" s="2"/>
      <c r="AB862" s="2"/>
      <c r="AC862" s="2"/>
      <c r="AD862" s="2"/>
      <c r="AE862" s="2"/>
      <c r="AF862" s="2"/>
      <c r="AG862" s="2"/>
      <c r="AH862" s="2"/>
      <c r="AI862" s="2"/>
      <c r="AJ862" s="2"/>
      <c r="AK862" s="2"/>
    </row>
    <row r="863" spans="2:37">
      <c r="B863" s="45" t="s">
        <v>58</v>
      </c>
      <c r="C863" s="340">
        <v>66</v>
      </c>
      <c r="D863" s="341">
        <v>0</v>
      </c>
      <c r="E863" s="327"/>
      <c r="F863" s="652">
        <v>0</v>
      </c>
      <c r="G863" s="653"/>
      <c r="H863" s="330">
        <f t="shared" si="87"/>
        <v>0</v>
      </c>
      <c r="J863" s="652">
        <v>0</v>
      </c>
      <c r="K863" s="653"/>
      <c r="L863" s="330">
        <f t="shared" si="89"/>
        <v>0</v>
      </c>
      <c r="M863" s="2"/>
      <c r="N863" s="2"/>
      <c r="O863" s="2"/>
      <c r="P863" s="2"/>
      <c r="Q863" s="2"/>
      <c r="R863" s="2"/>
      <c r="S863" s="2"/>
      <c r="T863" s="2"/>
      <c r="U863" s="2"/>
      <c r="V863" s="2"/>
      <c r="W863" s="2"/>
      <c r="X863" s="2"/>
      <c r="Y863" s="2"/>
      <c r="Z863" s="2"/>
      <c r="AA863" s="2"/>
      <c r="AB863" s="2"/>
      <c r="AC863" s="2"/>
      <c r="AD863" s="2"/>
      <c r="AE863" s="2"/>
      <c r="AF863" s="2"/>
      <c r="AG863" s="2"/>
      <c r="AH863" s="2"/>
      <c r="AI863" s="2"/>
      <c r="AJ863" s="2"/>
      <c r="AK863" s="2"/>
    </row>
    <row r="864" spans="2:37">
      <c r="B864" s="342" t="s">
        <v>59</v>
      </c>
      <c r="C864" s="343">
        <v>67</v>
      </c>
      <c r="D864" s="344">
        <v>0</v>
      </c>
      <c r="E864" s="327"/>
      <c r="F864" s="654">
        <v>0</v>
      </c>
      <c r="G864" s="655"/>
      <c r="H864" s="332">
        <f t="shared" si="87"/>
        <v>0</v>
      </c>
      <c r="J864" s="654">
        <v>0</v>
      </c>
      <c r="K864" s="655"/>
      <c r="L864" s="332">
        <f t="shared" si="89"/>
        <v>0</v>
      </c>
      <c r="M864" s="2"/>
      <c r="N864" s="2"/>
      <c r="O864" s="2"/>
      <c r="P864" s="2"/>
      <c r="Q864" s="2"/>
      <c r="R864" s="2"/>
      <c r="S864" s="2"/>
      <c r="T864" s="2"/>
      <c r="U864" s="2"/>
      <c r="V864" s="2"/>
      <c r="W864" s="2"/>
      <c r="X864" s="2"/>
      <c r="Y864" s="2"/>
      <c r="Z864" s="2"/>
      <c r="AA864" s="2"/>
      <c r="AB864" s="2"/>
      <c r="AC864" s="2"/>
      <c r="AD864" s="2"/>
      <c r="AE864" s="2"/>
      <c r="AF864" s="2"/>
      <c r="AG864" s="2"/>
      <c r="AH864" s="2"/>
      <c r="AI864" s="2"/>
      <c r="AJ864" s="2"/>
      <c r="AK864" s="2"/>
    </row>
    <row r="865" spans="2:37" ht="15" thickBot="1">
      <c r="B865" s="45" t="s">
        <v>60</v>
      </c>
      <c r="C865" s="340">
        <v>68</v>
      </c>
      <c r="D865" s="341">
        <v>0</v>
      </c>
      <c r="E865" s="327"/>
      <c r="F865" s="669">
        <v>0</v>
      </c>
      <c r="G865" s="670"/>
      <c r="H865" s="247">
        <f t="shared" si="87"/>
        <v>0</v>
      </c>
      <c r="J865" s="669">
        <v>0</v>
      </c>
      <c r="K865" s="670"/>
      <c r="L865" s="247">
        <f t="shared" si="89"/>
        <v>0</v>
      </c>
      <c r="M865" s="2"/>
      <c r="N865" s="2"/>
      <c r="O865" s="2"/>
      <c r="P865" s="2"/>
      <c r="Q865" s="2"/>
      <c r="R865" s="2"/>
      <c r="S865" s="2"/>
      <c r="T865" s="2"/>
      <c r="U865" s="2"/>
      <c r="V865" s="2"/>
      <c r="W865" s="2"/>
      <c r="X865" s="2"/>
      <c r="Y865" s="2"/>
      <c r="Z865" s="2"/>
      <c r="AA865" s="2"/>
      <c r="AB865" s="2"/>
      <c r="AC865" s="2"/>
      <c r="AD865" s="2"/>
      <c r="AE865" s="2"/>
      <c r="AF865" s="2"/>
      <c r="AG865" s="2"/>
      <c r="AH865" s="2"/>
      <c r="AI865" s="2"/>
      <c r="AJ865" s="2"/>
      <c r="AK865" s="2"/>
    </row>
    <row r="866" spans="2:37" ht="15" thickTop="1">
      <c r="B866" s="353" t="s">
        <v>61</v>
      </c>
      <c r="C866" s="353"/>
      <c r="D866" s="371">
        <f>SUM(D834:D865)</f>
        <v>7174</v>
      </c>
      <c r="E866" s="327"/>
      <c r="F866" s="667">
        <f>SUM(F834:G865)</f>
        <v>219</v>
      </c>
      <c r="G866" s="668"/>
      <c r="H866" s="372">
        <f t="shared" si="87"/>
        <v>-0.97</v>
      </c>
      <c r="J866" s="667">
        <f>SUM(J834:K865)</f>
        <v>0</v>
      </c>
      <c r="K866" s="668"/>
      <c r="L866" s="372">
        <f t="shared" si="89"/>
        <v>-1</v>
      </c>
      <c r="M866" s="2"/>
      <c r="N866" s="2"/>
      <c r="O866" s="2"/>
      <c r="P866" s="2"/>
      <c r="Q866" s="2"/>
      <c r="R866" s="2"/>
      <c r="S866" s="2"/>
      <c r="T866" s="2"/>
      <c r="U866" s="2"/>
      <c r="V866" s="2"/>
      <c r="W866" s="2"/>
      <c r="X866" s="2"/>
      <c r="Y866" s="2"/>
      <c r="Z866" s="2"/>
      <c r="AA866" s="2"/>
      <c r="AB866" s="2"/>
      <c r="AC866" s="2"/>
      <c r="AD866" s="2"/>
      <c r="AE866" s="2"/>
      <c r="AF866" s="2"/>
      <c r="AG866" s="2"/>
      <c r="AH866" s="2"/>
      <c r="AI866" s="2"/>
      <c r="AJ866" s="2"/>
      <c r="AK866" s="2"/>
    </row>
    <row r="867" spans="2:37" ht="15.75">
      <c r="B867" s="45" t="s">
        <v>181</v>
      </c>
      <c r="C867" s="45"/>
      <c r="D867" s="356">
        <f>G1312</f>
        <v>70.7</v>
      </c>
      <c r="E867" s="327"/>
      <c r="F867" s="665">
        <f>I1312</f>
        <v>82.5</v>
      </c>
      <c r="G867" s="666"/>
      <c r="H867" s="247">
        <f t="shared" si="87"/>
        <v>0.17</v>
      </c>
      <c r="J867" s="665">
        <f>K1312</f>
        <v>70</v>
      </c>
      <c r="K867" s="666"/>
      <c r="L867" s="247">
        <f t="shared" si="89"/>
        <v>-0.15</v>
      </c>
      <c r="M867" s="2"/>
      <c r="N867" s="2"/>
      <c r="O867" s="2"/>
      <c r="P867" s="2"/>
      <c r="Q867" s="2"/>
      <c r="R867" s="2"/>
      <c r="S867" s="2"/>
      <c r="T867" s="2"/>
      <c r="U867" s="2"/>
      <c r="V867" s="2"/>
      <c r="W867" s="2"/>
      <c r="X867" s="2"/>
      <c r="Y867" s="2"/>
      <c r="Z867" s="2"/>
      <c r="AA867" s="2"/>
      <c r="AB867" s="2"/>
      <c r="AC867" s="2"/>
      <c r="AD867" s="2"/>
      <c r="AE867" s="2"/>
      <c r="AF867" s="2"/>
      <c r="AG867" s="2"/>
      <c r="AH867" s="2"/>
      <c r="AI867" s="2"/>
      <c r="AJ867" s="2"/>
      <c r="AK867" s="2"/>
    </row>
    <row r="868" spans="2:37" ht="16.5" thickBot="1">
      <c r="B868" s="342" t="s">
        <v>182</v>
      </c>
      <c r="C868" s="342"/>
      <c r="D868" s="346">
        <f>IF(D866=0,0,D866/D867)</f>
        <v>101</v>
      </c>
      <c r="E868" s="327"/>
      <c r="F868" s="663">
        <f>IF(F866=0,0,F866/F867)</f>
        <v>3</v>
      </c>
      <c r="G868" s="664"/>
      <c r="H868" s="357">
        <f t="shared" si="87"/>
        <v>-0.97</v>
      </c>
      <c r="J868" s="663">
        <f>IF(J866=0,0,J866/J867)</f>
        <v>0</v>
      </c>
      <c r="K868" s="664"/>
      <c r="L868" s="357">
        <f t="shared" si="89"/>
        <v>-1</v>
      </c>
      <c r="M868" s="2"/>
      <c r="N868" s="2"/>
      <c r="O868" s="2"/>
      <c r="P868" s="2"/>
      <c r="Q868" s="2"/>
      <c r="R868" s="2"/>
      <c r="S868" s="2"/>
      <c r="T868" s="2"/>
      <c r="U868" s="2"/>
      <c r="V868" s="2"/>
      <c r="W868" s="2"/>
      <c r="X868" s="2"/>
      <c r="Y868" s="2"/>
      <c r="Z868" s="2"/>
      <c r="AA868" s="2"/>
      <c r="AB868" s="2"/>
      <c r="AC868" s="2"/>
      <c r="AD868" s="2"/>
      <c r="AE868" s="2"/>
      <c r="AF868" s="2"/>
      <c r="AG868" s="2"/>
      <c r="AH868" s="2"/>
      <c r="AI868" s="2"/>
      <c r="AJ868" s="2"/>
      <c r="AK868" s="2"/>
    </row>
    <row r="869" spans="2:37">
      <c r="B869" s="358" t="s">
        <v>63</v>
      </c>
      <c r="C869" s="358"/>
      <c r="D869" s="389">
        <v>0</v>
      </c>
      <c r="E869" s="327"/>
      <c r="F869" s="661">
        <v>0</v>
      </c>
      <c r="G869" s="662"/>
      <c r="H869" s="360">
        <f t="shared" si="87"/>
        <v>0</v>
      </c>
      <c r="J869" s="661">
        <v>0</v>
      </c>
      <c r="K869" s="662"/>
      <c r="L869" s="360">
        <f t="shared" si="89"/>
        <v>0</v>
      </c>
      <c r="M869" s="2"/>
      <c r="N869" s="2"/>
      <c r="S869" s="2"/>
      <c r="T869" s="2"/>
      <c r="U869" s="2"/>
      <c r="V869" s="2"/>
      <c r="W869" s="2"/>
      <c r="X869" s="2"/>
      <c r="Y869" s="2"/>
      <c r="Z869" s="2"/>
      <c r="AA869" s="2"/>
      <c r="AB869" s="2"/>
      <c r="AC869" s="2"/>
      <c r="AD869" s="2"/>
      <c r="AE869" s="2"/>
      <c r="AF869" s="2"/>
      <c r="AG869" s="2"/>
      <c r="AH869" s="2"/>
      <c r="AI869" s="2"/>
      <c r="AJ869" s="2"/>
      <c r="AK869" s="2"/>
    </row>
    <row r="870" spans="2:37">
      <c r="B870" s="342" t="s">
        <v>64</v>
      </c>
      <c r="C870" s="342"/>
      <c r="D870" s="339">
        <v>0</v>
      </c>
      <c r="E870" s="327"/>
      <c r="F870" s="654">
        <v>0</v>
      </c>
      <c r="G870" s="655"/>
      <c r="H870" s="332">
        <f t="shared" si="87"/>
        <v>0</v>
      </c>
      <c r="J870" s="654">
        <v>0</v>
      </c>
      <c r="K870" s="655"/>
      <c r="L870" s="332">
        <f t="shared" si="89"/>
        <v>0</v>
      </c>
      <c r="M870" s="2"/>
      <c r="N870" s="2"/>
      <c r="S870" s="2"/>
      <c r="T870" s="2"/>
      <c r="U870" s="2"/>
      <c r="V870" s="2"/>
      <c r="W870" s="2"/>
      <c r="X870" s="2"/>
      <c r="Y870" s="2"/>
      <c r="Z870" s="2"/>
      <c r="AA870" s="2"/>
      <c r="AB870" s="2"/>
      <c r="AC870" s="2"/>
      <c r="AD870" s="2"/>
      <c r="AE870" s="2"/>
      <c r="AF870" s="2"/>
      <c r="AG870" s="2"/>
      <c r="AH870" s="2"/>
      <c r="AI870" s="2"/>
      <c r="AJ870" s="2"/>
      <c r="AK870" s="2"/>
    </row>
    <row r="871" spans="2:37" ht="15" thickBot="1">
      <c r="B871" s="361" t="s">
        <v>65</v>
      </c>
      <c r="C871" s="361"/>
      <c r="D871" s="362">
        <f>SUM([1]C078!$C$218:$C$229)</f>
        <v>0</v>
      </c>
      <c r="E871" s="327"/>
      <c r="F871" s="684">
        <f>SUM([1]C078!$D$218:$D$229)</f>
        <v>0</v>
      </c>
      <c r="G871" s="660"/>
      <c r="H871" s="363">
        <f t="shared" si="87"/>
        <v>0</v>
      </c>
      <c r="J871" s="684">
        <f>SUM([1]C078!$E$218:$E$229)</f>
        <v>0</v>
      </c>
      <c r="K871" s="660"/>
      <c r="L871" s="363">
        <f t="shared" si="89"/>
        <v>0</v>
      </c>
      <c r="M871" s="2"/>
      <c r="N871" s="2"/>
      <c r="O871" s="2"/>
      <c r="P871" s="2"/>
      <c r="Q871" s="2"/>
      <c r="R871" s="2"/>
      <c r="S871" s="2"/>
      <c r="T871" s="2"/>
      <c r="U871" s="2"/>
      <c r="V871" s="2"/>
      <c r="W871" s="2"/>
      <c r="X871" s="2"/>
      <c r="Y871" s="2"/>
      <c r="Z871" s="2"/>
      <c r="AA871" s="2"/>
      <c r="AB871" s="2"/>
      <c r="AC871" s="2"/>
      <c r="AD871" s="2"/>
      <c r="AE871" s="2"/>
      <c r="AF871" s="2"/>
      <c r="AG871" s="2"/>
      <c r="AH871" s="2"/>
      <c r="AI871" s="2"/>
      <c r="AJ871" s="2"/>
      <c r="AK871" s="2"/>
    </row>
    <row r="872" spans="2:37" ht="15" thickTop="1">
      <c r="B872" s="365" t="s">
        <v>66</v>
      </c>
      <c r="C872" s="365"/>
      <c r="D872" s="373">
        <f>SUM(D869:D871,D866)</f>
        <v>7174</v>
      </c>
      <c r="E872" s="327"/>
      <c r="F872" s="657">
        <f>SUM(F869:G871,F866)</f>
        <v>219</v>
      </c>
      <c r="G872" s="658"/>
      <c r="H872" s="374">
        <f t="shared" si="87"/>
        <v>-0.97</v>
      </c>
      <c r="J872" s="657">
        <f>SUM(J869:K871,J866)</f>
        <v>0</v>
      </c>
      <c r="K872" s="658"/>
      <c r="L872" s="374">
        <f t="shared" si="89"/>
        <v>-1</v>
      </c>
      <c r="M872" s="2"/>
      <c r="N872" s="2"/>
      <c r="O872" s="2"/>
      <c r="P872" s="2"/>
      <c r="Q872" s="2"/>
      <c r="R872" s="2"/>
      <c r="S872" s="2"/>
      <c r="T872" s="2"/>
      <c r="U872" s="2"/>
      <c r="V872" s="2"/>
      <c r="W872" s="2"/>
      <c r="X872" s="2"/>
      <c r="Y872" s="2"/>
      <c r="Z872" s="2"/>
      <c r="AA872" s="2"/>
      <c r="AB872" s="2"/>
      <c r="AC872" s="2"/>
      <c r="AD872" s="2"/>
      <c r="AE872" s="2"/>
      <c r="AF872" s="2"/>
      <c r="AG872" s="2"/>
      <c r="AH872" s="2"/>
      <c r="AI872" s="2"/>
      <c r="AJ872" s="2"/>
      <c r="AK872" s="2"/>
    </row>
    <row r="873" spans="2:37" ht="6.75" customHeight="1">
      <c r="B873" s="2"/>
      <c r="C873" s="2"/>
      <c r="D873" s="159"/>
      <c r="E873" s="2"/>
      <c r="F873" s="159"/>
      <c r="G873" s="201"/>
      <c r="H873" s="2"/>
      <c r="I873" s="159"/>
      <c r="J873" s="201"/>
      <c r="K873" s="2"/>
      <c r="L873" s="2"/>
      <c r="M873" s="2"/>
      <c r="N873" s="2"/>
      <c r="O873" s="2"/>
      <c r="P873" s="2"/>
      <c r="Q873" s="2"/>
      <c r="R873" s="2"/>
      <c r="S873" s="2"/>
      <c r="T873" s="2"/>
      <c r="U873" s="2"/>
      <c r="V873" s="2"/>
      <c r="W873" s="2"/>
      <c r="X873" s="2"/>
      <c r="Y873" s="2"/>
      <c r="Z873" s="2"/>
      <c r="AA873" s="2"/>
      <c r="AB873" s="2"/>
      <c r="AC873" s="2"/>
      <c r="AD873" s="2"/>
      <c r="AE873" s="2"/>
      <c r="AF873" s="2"/>
      <c r="AG873" s="2"/>
      <c r="AH873" s="2"/>
      <c r="AI873" s="2"/>
      <c r="AJ873" s="2"/>
      <c r="AK873" s="2"/>
    </row>
    <row r="874" spans="2:37">
      <c r="B874" s="650"/>
      <c r="C874" s="650"/>
      <c r="D874" s="650"/>
      <c r="E874" s="650"/>
      <c r="F874" s="650"/>
      <c r="G874" s="650"/>
      <c r="H874" s="650"/>
      <c r="I874" s="650"/>
      <c r="J874" s="650"/>
      <c r="K874" s="650"/>
      <c r="L874" s="650"/>
      <c r="M874" s="2"/>
      <c r="N874" s="2"/>
      <c r="O874" s="2"/>
      <c r="P874" s="2"/>
      <c r="Q874" s="2"/>
      <c r="R874" s="2"/>
      <c r="S874" s="2"/>
      <c r="T874" s="2"/>
      <c r="U874" s="2"/>
      <c r="V874" s="2"/>
      <c r="W874" s="2"/>
      <c r="X874" s="2"/>
      <c r="Y874" s="2"/>
      <c r="Z874" s="2"/>
      <c r="AA874" s="2"/>
      <c r="AB874" s="2"/>
      <c r="AC874" s="2"/>
      <c r="AD874" s="2"/>
      <c r="AE874" s="2"/>
      <c r="AF874" s="2"/>
      <c r="AG874" s="2"/>
      <c r="AH874" s="2"/>
      <c r="AI874" s="2"/>
      <c r="AJ874" s="2"/>
      <c r="AK874" s="2"/>
    </row>
    <row r="875" spans="2:37">
      <c r="B875" s="650"/>
      <c r="C875" s="650"/>
      <c r="D875" s="650"/>
      <c r="E875" s="650"/>
      <c r="F875" s="650"/>
      <c r="G875" s="650"/>
      <c r="H875" s="650"/>
      <c r="I875" s="650"/>
      <c r="J875" s="650"/>
      <c r="K875" s="650"/>
      <c r="L875" s="650"/>
      <c r="M875" s="2"/>
      <c r="N875" s="2"/>
      <c r="S875" s="2"/>
      <c r="T875" s="2"/>
      <c r="U875" s="2"/>
      <c r="V875" s="2"/>
      <c r="W875" s="2"/>
      <c r="X875" s="2"/>
      <c r="Y875" s="2"/>
      <c r="Z875" s="2"/>
      <c r="AA875" s="2"/>
      <c r="AB875" s="2"/>
      <c r="AC875" s="2"/>
      <c r="AD875" s="2"/>
      <c r="AE875" s="2"/>
      <c r="AF875" s="2"/>
      <c r="AG875" s="2"/>
      <c r="AH875" s="2"/>
      <c r="AI875" s="2"/>
      <c r="AJ875" s="2"/>
      <c r="AK875" s="2"/>
    </row>
    <row r="876" spans="2:37">
      <c r="B876" s="650"/>
      <c r="C876" s="650"/>
      <c r="D876" s="650"/>
      <c r="E876" s="650"/>
      <c r="F876" s="650"/>
      <c r="G876" s="650"/>
      <c r="H876" s="650"/>
      <c r="I876" s="650"/>
      <c r="J876" s="650"/>
      <c r="K876" s="650"/>
      <c r="L876" s="650"/>
      <c r="M876" s="2"/>
      <c r="N876" s="2"/>
      <c r="O876" s="2"/>
      <c r="P876" s="2"/>
      <c r="Q876" s="2"/>
      <c r="R876" s="2"/>
      <c r="S876" s="2"/>
      <c r="T876" s="2"/>
      <c r="U876" s="2"/>
      <c r="V876" s="2"/>
      <c r="W876" s="2"/>
      <c r="X876" s="2"/>
      <c r="Y876" s="2"/>
      <c r="Z876" s="2"/>
      <c r="AA876" s="2"/>
      <c r="AB876" s="2"/>
      <c r="AC876" s="2"/>
      <c r="AD876" s="2"/>
      <c r="AE876" s="2"/>
      <c r="AF876" s="2"/>
      <c r="AG876" s="2"/>
      <c r="AH876" s="2"/>
      <c r="AI876" s="2"/>
      <c r="AJ876" s="2"/>
      <c r="AK876" s="2"/>
    </row>
    <row r="877" spans="2:37">
      <c r="B877" s="208"/>
      <c r="C877" s="2"/>
      <c r="D877" s="159"/>
      <c r="E877" s="2"/>
      <c r="F877" s="159"/>
      <c r="G877" s="201"/>
      <c r="H877" s="2"/>
      <c r="I877" s="159"/>
      <c r="J877" s="201"/>
      <c r="K877" s="2"/>
      <c r="L877" s="2"/>
      <c r="M877" s="2"/>
      <c r="N877" s="2"/>
      <c r="O877" s="2"/>
      <c r="P877" s="2"/>
      <c r="Q877" s="2"/>
      <c r="R877" s="2"/>
      <c r="S877" s="2"/>
      <c r="T877" s="2"/>
      <c r="U877" s="2"/>
      <c r="V877" s="2"/>
      <c r="W877" s="2"/>
      <c r="X877" s="2"/>
      <c r="Y877" s="2"/>
      <c r="Z877" s="2"/>
      <c r="AA877" s="2"/>
      <c r="AB877" s="2"/>
      <c r="AC877" s="2"/>
      <c r="AD877" s="2"/>
      <c r="AE877" s="2"/>
      <c r="AF877" s="2"/>
      <c r="AG877" s="2"/>
      <c r="AH877" s="2"/>
      <c r="AI877" s="2"/>
      <c r="AJ877" s="2"/>
      <c r="AK877" s="2"/>
    </row>
    <row r="878" spans="2:37">
      <c r="B878" s="2"/>
      <c r="C878" s="2"/>
      <c r="D878" s="159"/>
      <c r="E878" s="2"/>
      <c r="F878" s="159"/>
      <c r="G878" s="201"/>
      <c r="H878" s="2"/>
      <c r="I878" s="159"/>
      <c r="J878" s="201"/>
      <c r="K878" s="2"/>
      <c r="L878" s="2"/>
      <c r="M878" s="2"/>
      <c r="N878" s="2"/>
      <c r="O878" s="2"/>
      <c r="P878" s="2"/>
      <c r="Q878" s="2"/>
      <c r="R878" s="2"/>
      <c r="S878" s="2"/>
      <c r="T878" s="2"/>
      <c r="U878" s="2"/>
      <c r="V878" s="2"/>
      <c r="W878" s="2"/>
      <c r="X878" s="2"/>
      <c r="Y878" s="2"/>
      <c r="Z878" s="2"/>
      <c r="AA878" s="2"/>
      <c r="AB878" s="2"/>
      <c r="AC878" s="2"/>
      <c r="AD878" s="2"/>
      <c r="AE878" s="2"/>
      <c r="AF878" s="2"/>
      <c r="AG878" s="2"/>
      <c r="AH878" s="2"/>
      <c r="AI878" s="2"/>
      <c r="AJ878" s="2"/>
      <c r="AK878" s="2"/>
    </row>
    <row r="879" spans="2:37">
      <c r="B879" s="2"/>
      <c r="C879" s="2"/>
      <c r="D879" s="159"/>
      <c r="E879" s="2"/>
      <c r="F879" s="159"/>
      <c r="G879" s="201"/>
      <c r="H879" s="2"/>
      <c r="I879" s="159"/>
      <c r="J879" s="201"/>
      <c r="K879" s="2"/>
      <c r="L879" s="2"/>
      <c r="M879" s="2"/>
      <c r="N879" s="2"/>
      <c r="O879" s="2"/>
      <c r="P879" s="2"/>
      <c r="Q879" s="2"/>
      <c r="R879" s="2"/>
      <c r="S879" s="2"/>
      <c r="T879" s="2"/>
      <c r="U879" s="2"/>
      <c r="V879" s="2"/>
      <c r="W879" s="2"/>
      <c r="X879" s="2"/>
      <c r="Y879" s="2"/>
      <c r="Z879" s="2"/>
      <c r="AA879" s="2"/>
      <c r="AB879" s="2"/>
      <c r="AC879" s="2"/>
      <c r="AD879" s="2"/>
      <c r="AE879" s="2"/>
      <c r="AF879" s="2"/>
      <c r="AG879" s="2"/>
      <c r="AH879" s="2"/>
      <c r="AI879" s="2"/>
      <c r="AJ879" s="2"/>
      <c r="AK879" s="2"/>
    </row>
    <row r="880" spans="2:37">
      <c r="B880" s="2"/>
      <c r="C880" s="2"/>
      <c r="D880" s="159"/>
      <c r="E880" s="2"/>
      <c r="F880" s="159"/>
      <c r="G880" s="201"/>
      <c r="H880" s="2"/>
      <c r="I880" s="159"/>
      <c r="J880" s="201"/>
      <c r="K880" s="2"/>
      <c r="L880" s="2"/>
      <c r="M880" s="2"/>
      <c r="N880" s="2"/>
      <c r="O880" s="2"/>
      <c r="P880" s="2"/>
      <c r="Q880" s="2"/>
      <c r="R880" s="2"/>
      <c r="S880" s="2"/>
      <c r="T880" s="2"/>
      <c r="U880" s="2"/>
      <c r="V880" s="2"/>
      <c r="W880" s="2"/>
      <c r="X880" s="2"/>
      <c r="Y880" s="2"/>
      <c r="Z880" s="2"/>
      <c r="AA880" s="2"/>
      <c r="AB880" s="2"/>
      <c r="AC880" s="2"/>
      <c r="AD880" s="2"/>
      <c r="AE880" s="2"/>
      <c r="AF880" s="2"/>
      <c r="AG880" s="2"/>
      <c r="AH880" s="2"/>
      <c r="AI880" s="2"/>
      <c r="AJ880" s="2"/>
      <c r="AK880" s="2"/>
    </row>
    <row r="881" spans="2:37">
      <c r="B881" s="2"/>
      <c r="C881" s="2"/>
      <c r="D881" s="159"/>
      <c r="E881" s="2"/>
      <c r="F881" s="159"/>
      <c r="G881" s="201"/>
      <c r="H881" s="2"/>
      <c r="I881" s="159"/>
      <c r="J881" s="201"/>
      <c r="K881" s="2"/>
      <c r="L881" s="2"/>
      <c r="M881" s="2"/>
      <c r="N881" s="2"/>
      <c r="O881" s="167"/>
      <c r="P881" s="2"/>
      <c r="Q881" s="2"/>
      <c r="R881" s="2"/>
      <c r="S881" s="2"/>
      <c r="T881" s="2"/>
      <c r="U881" s="2"/>
      <c r="V881" s="2"/>
      <c r="W881" s="2"/>
      <c r="X881" s="2"/>
      <c r="Y881" s="2"/>
      <c r="Z881" s="2"/>
      <c r="AA881" s="2"/>
      <c r="AB881" s="2"/>
      <c r="AC881" s="2"/>
      <c r="AD881" s="2"/>
      <c r="AE881" s="2"/>
      <c r="AF881" s="2"/>
      <c r="AG881" s="2"/>
      <c r="AH881" s="2"/>
      <c r="AI881" s="2"/>
      <c r="AJ881" s="2"/>
      <c r="AK881" s="2"/>
    </row>
    <row r="882" spans="2:37">
      <c r="B882" s="2"/>
      <c r="C882" s="2"/>
      <c r="D882" s="159"/>
      <c r="E882" s="2"/>
      <c r="F882" s="159"/>
      <c r="G882" s="201"/>
      <c r="H882" s="2"/>
      <c r="I882" s="159"/>
      <c r="J882" s="201"/>
      <c r="K882" s="2"/>
      <c r="L882" s="2"/>
      <c r="M882" s="2"/>
      <c r="N882" s="2"/>
      <c r="O882" s="2"/>
      <c r="P882" s="2"/>
      <c r="Q882" s="2"/>
      <c r="R882" s="2"/>
      <c r="S882" s="2"/>
      <c r="T882" s="2"/>
      <c r="U882" s="2"/>
      <c r="V882" s="2"/>
      <c r="W882" s="2"/>
      <c r="X882" s="2"/>
      <c r="Y882" s="2"/>
      <c r="Z882" s="2"/>
      <c r="AA882" s="2"/>
      <c r="AB882" s="2"/>
      <c r="AC882" s="2"/>
      <c r="AD882" s="2"/>
      <c r="AE882" s="2"/>
      <c r="AF882" s="2"/>
      <c r="AG882" s="2"/>
      <c r="AH882" s="2"/>
      <c r="AI882" s="2"/>
      <c r="AJ882" s="2"/>
      <c r="AK882" s="2"/>
    </row>
    <row r="883" spans="2:37">
      <c r="B883" s="2"/>
      <c r="C883" s="2"/>
      <c r="D883" s="159"/>
      <c r="E883" s="2"/>
      <c r="F883" s="159"/>
      <c r="G883" s="201"/>
      <c r="H883" s="2"/>
      <c r="I883" s="159"/>
      <c r="J883" s="201"/>
      <c r="K883" s="2"/>
      <c r="L883" s="2"/>
      <c r="M883" s="2"/>
      <c r="N883" s="2"/>
      <c r="O883" s="2"/>
      <c r="P883" s="2"/>
      <c r="Q883" s="2"/>
      <c r="R883" s="2"/>
      <c r="S883" s="2"/>
      <c r="T883" s="2"/>
      <c r="U883" s="2"/>
      <c r="V883" s="2"/>
      <c r="W883" s="2"/>
      <c r="X883" s="2"/>
      <c r="Y883" s="2"/>
      <c r="Z883" s="2"/>
      <c r="AA883" s="2"/>
      <c r="AB883" s="2"/>
      <c r="AC883" s="2"/>
      <c r="AD883" s="2"/>
      <c r="AE883" s="2"/>
      <c r="AF883" s="2"/>
      <c r="AG883" s="2"/>
      <c r="AH883" s="2"/>
      <c r="AI883" s="2"/>
      <c r="AJ883" s="2"/>
      <c r="AK883" s="2"/>
    </row>
    <row r="884" spans="2:37">
      <c r="B884" s="2"/>
      <c r="C884" s="2"/>
      <c r="D884" s="159"/>
      <c r="E884" s="2"/>
      <c r="F884" s="159"/>
      <c r="G884" s="201"/>
      <c r="H884" s="2"/>
      <c r="I884" s="159"/>
      <c r="J884" s="201"/>
      <c r="K884" s="2"/>
      <c r="L884" s="2"/>
      <c r="M884" s="2"/>
      <c r="N884" s="2"/>
      <c r="O884" s="2"/>
      <c r="P884" s="2"/>
      <c r="Q884" s="2"/>
      <c r="R884" s="2"/>
      <c r="S884" s="2"/>
      <c r="T884" s="2"/>
      <c r="U884" s="2"/>
      <c r="V884" s="2"/>
      <c r="W884" s="2"/>
      <c r="X884" s="2"/>
      <c r="Y884" s="2"/>
      <c r="Z884" s="2"/>
      <c r="AA884" s="2"/>
      <c r="AB884" s="2"/>
      <c r="AC884" s="2"/>
      <c r="AD884" s="2"/>
      <c r="AE884" s="2"/>
      <c r="AF884" s="2"/>
      <c r="AG884" s="2"/>
      <c r="AH884" s="2"/>
      <c r="AI884" s="2"/>
      <c r="AJ884" s="2"/>
      <c r="AK884" s="2"/>
    </row>
    <row r="885" spans="2:37">
      <c r="B885" s="2"/>
      <c r="C885" s="2"/>
      <c r="D885" s="159"/>
      <c r="E885" s="2"/>
      <c r="F885" s="159"/>
      <c r="G885" s="201"/>
      <c r="H885" s="2"/>
      <c r="I885" s="159"/>
      <c r="J885" s="201"/>
      <c r="K885" s="2"/>
      <c r="L885" s="2"/>
      <c r="M885" s="2"/>
      <c r="N885" s="2"/>
      <c r="O885" s="2"/>
      <c r="P885" s="140" t="str">
        <f>$B$830</f>
        <v>Other Support Services Expenditures (2900)</v>
      </c>
      <c r="Q885" s="2"/>
      <c r="R885" s="2"/>
      <c r="S885" s="2"/>
      <c r="T885" s="2"/>
      <c r="U885" s="2"/>
      <c r="V885" s="2"/>
      <c r="W885" s="2"/>
      <c r="X885" s="2"/>
      <c r="Y885" s="2"/>
      <c r="Z885" s="2"/>
      <c r="AA885" s="2"/>
      <c r="AB885" s="2"/>
      <c r="AC885" s="2"/>
      <c r="AD885" s="2"/>
      <c r="AE885" s="2"/>
      <c r="AF885" s="2"/>
      <c r="AG885" s="2"/>
      <c r="AH885" s="2"/>
      <c r="AI885" s="2"/>
      <c r="AJ885" s="2"/>
      <c r="AK885" s="2"/>
    </row>
    <row r="886" spans="2:37">
      <c r="C886" s="2"/>
      <c r="D886" s="159"/>
      <c r="E886" s="2"/>
      <c r="F886" s="159"/>
      <c r="G886" s="201"/>
      <c r="H886" s="2"/>
      <c r="I886" s="159"/>
      <c r="J886" s="201"/>
      <c r="K886" s="2"/>
      <c r="L886" s="2"/>
      <c r="M886" s="2"/>
      <c r="N886" s="2"/>
      <c r="O886" s="2"/>
      <c r="P886" s="82" t="str">
        <f>D4</f>
        <v>2023-2024</v>
      </c>
      <c r="Q886" s="82" t="str">
        <f>F4</f>
        <v>2024-2025</v>
      </c>
      <c r="R886" s="82" t="str">
        <f>I4</f>
        <v>2025-2026</v>
      </c>
      <c r="S886" s="2"/>
      <c r="T886" s="2"/>
      <c r="U886" s="2"/>
      <c r="V886" s="2"/>
      <c r="W886" s="2"/>
      <c r="X886" s="2"/>
      <c r="Y886" s="2"/>
      <c r="Z886" s="2"/>
      <c r="AA886" s="2"/>
      <c r="AB886" s="2"/>
      <c r="AC886" s="2"/>
      <c r="AD886" s="2"/>
      <c r="AE886" s="2"/>
      <c r="AF886" s="2"/>
      <c r="AG886" s="2"/>
      <c r="AH886" s="2"/>
      <c r="AI886" s="2"/>
      <c r="AJ886" s="2"/>
      <c r="AK886" s="2"/>
    </row>
    <row r="887" spans="2:37">
      <c r="C887" s="2"/>
      <c r="D887" s="159"/>
      <c r="E887" s="2"/>
      <c r="F887" s="159"/>
      <c r="G887" s="201"/>
      <c r="H887" s="2"/>
      <c r="I887" s="159"/>
      <c r="J887" s="201"/>
      <c r="K887" s="2"/>
      <c r="L887" s="2"/>
      <c r="M887" s="2"/>
      <c r="N887" s="2"/>
      <c r="O887" s="140" t="str">
        <f>$B830</f>
        <v>Other Support Services Expenditures (2900)</v>
      </c>
      <c r="P887" s="207">
        <f>IF(AND($D872&lt;=0,$F872&lt;=0,$J872&lt;=0),#N/A,IF($D872&lt;=0,0,$D872))</f>
        <v>7174</v>
      </c>
      <c r="Q887" s="207">
        <f>IF(AND($D872&lt;=0,$F872&lt;=0,$J872&lt;=0),#N/A,IF($F872&lt;=0,0,$F872))</f>
        <v>219</v>
      </c>
      <c r="R887" s="207">
        <f>IF(AND($D872&lt;=0,$F872&lt;=0,$J872&lt;=0),#N/A,IF($J872&lt;=0,0,$J872))</f>
        <v>0</v>
      </c>
      <c r="S887" s="2"/>
      <c r="T887" s="2"/>
      <c r="U887" s="2"/>
      <c r="V887" s="2"/>
      <c r="W887" s="2"/>
      <c r="X887" s="2"/>
      <c r="Y887" s="2"/>
      <c r="Z887" s="2"/>
      <c r="AA887" s="2"/>
      <c r="AB887" s="2"/>
      <c r="AC887" s="2"/>
      <c r="AD887" s="2"/>
      <c r="AE887" s="2"/>
      <c r="AF887" s="2"/>
      <c r="AG887" s="2"/>
      <c r="AH887" s="2"/>
      <c r="AI887" s="2"/>
      <c r="AJ887" s="2"/>
      <c r="AK887" s="2"/>
    </row>
    <row r="888" spans="2:37">
      <c r="C888" s="2"/>
      <c r="D888" s="159"/>
      <c r="E888" s="2"/>
      <c r="F888" s="159"/>
      <c r="G888" s="201"/>
      <c r="H888" s="2"/>
      <c r="I888" s="159"/>
      <c r="J888" s="201"/>
      <c r="K888" s="2"/>
      <c r="L888" s="2"/>
      <c r="M888" s="2"/>
      <c r="N888" s="2"/>
      <c r="O888" s="2"/>
      <c r="P888" s="2"/>
      <c r="Q888" s="2"/>
      <c r="R888" s="2"/>
      <c r="S888" s="2"/>
      <c r="T888" s="2"/>
      <c r="U888" s="2"/>
      <c r="V888" s="2"/>
      <c r="W888" s="2"/>
      <c r="X888" s="2"/>
      <c r="Y888" s="2"/>
      <c r="Z888" s="2"/>
      <c r="AA888" s="2"/>
      <c r="AB888" s="2"/>
      <c r="AC888" s="2"/>
      <c r="AD888" s="2"/>
      <c r="AE888" s="2"/>
      <c r="AF888" s="2"/>
      <c r="AG888" s="2"/>
      <c r="AH888" s="2"/>
      <c r="AI888" s="2"/>
      <c r="AJ888" s="2"/>
      <c r="AK888" s="2"/>
    </row>
    <row r="889" spans="2:37">
      <c r="C889" s="2"/>
      <c r="D889" s="159"/>
      <c r="E889" s="2"/>
      <c r="F889" s="159"/>
      <c r="G889" s="201"/>
      <c r="H889" s="2"/>
      <c r="I889" s="159"/>
      <c r="J889" s="201"/>
      <c r="K889" s="2"/>
      <c r="L889" s="2"/>
      <c r="M889" s="2"/>
      <c r="N889" s="2"/>
      <c r="O889" s="2"/>
      <c r="P889" s="2"/>
      <c r="Q889" s="2"/>
      <c r="R889" s="2"/>
      <c r="S889" s="2"/>
      <c r="T889" s="2"/>
      <c r="U889" s="2"/>
      <c r="V889" s="2"/>
      <c r="W889" s="2"/>
      <c r="X889" s="2"/>
      <c r="Y889" s="2"/>
      <c r="Z889" s="2"/>
      <c r="AA889" s="2"/>
      <c r="AB889" s="2"/>
      <c r="AC889" s="2"/>
      <c r="AD889" s="2"/>
      <c r="AE889" s="2"/>
      <c r="AF889" s="2"/>
      <c r="AG889" s="2"/>
      <c r="AH889" s="2"/>
      <c r="AI889" s="2"/>
      <c r="AJ889" s="2"/>
      <c r="AK889" s="2"/>
    </row>
    <row r="890" spans="2:37">
      <c r="C890" s="2"/>
      <c r="D890" s="159"/>
      <c r="E890" s="2"/>
      <c r="F890" s="159"/>
      <c r="G890" s="201"/>
      <c r="H890" s="2"/>
      <c r="I890" s="159"/>
      <c r="J890" s="201"/>
      <c r="K890" s="2"/>
      <c r="L890" s="2"/>
      <c r="M890" s="2"/>
      <c r="N890" s="2"/>
      <c r="O890" s="2"/>
      <c r="P890" s="2"/>
      <c r="Q890" s="2"/>
      <c r="R890" s="2"/>
      <c r="S890" s="2"/>
      <c r="T890" s="2"/>
      <c r="U890" s="2"/>
      <c r="V890" s="2"/>
      <c r="W890" s="2"/>
      <c r="X890" s="2"/>
      <c r="Y890" s="2"/>
      <c r="Z890" s="2"/>
      <c r="AA890" s="2"/>
      <c r="AB890" s="2"/>
      <c r="AC890" s="2"/>
      <c r="AD890" s="2"/>
      <c r="AE890" s="2"/>
      <c r="AF890" s="2"/>
      <c r="AG890" s="2"/>
      <c r="AH890" s="2"/>
      <c r="AI890" s="2"/>
      <c r="AJ890" s="2"/>
      <c r="AK890" s="2"/>
    </row>
    <row r="891" spans="2:37">
      <c r="C891" s="2"/>
      <c r="D891" s="159"/>
      <c r="E891" s="2"/>
      <c r="F891" s="159"/>
      <c r="G891" s="201"/>
      <c r="H891" s="2"/>
      <c r="I891" s="159"/>
      <c r="J891" s="201"/>
      <c r="K891" s="2"/>
      <c r="L891" s="2"/>
      <c r="M891" s="2"/>
      <c r="N891" s="2"/>
      <c r="O891" s="2"/>
      <c r="P891" s="2"/>
      <c r="Q891" s="2"/>
      <c r="R891" s="2"/>
      <c r="S891" s="2"/>
      <c r="T891" s="2"/>
      <c r="U891" s="2"/>
      <c r="V891" s="2"/>
      <c r="W891" s="2"/>
      <c r="X891" s="2"/>
      <c r="Y891" s="2"/>
      <c r="Z891" s="2"/>
      <c r="AA891" s="2"/>
      <c r="AB891" s="2"/>
      <c r="AC891" s="2"/>
      <c r="AD891" s="2"/>
      <c r="AE891" s="2"/>
      <c r="AF891" s="2"/>
      <c r="AG891" s="2"/>
      <c r="AH891" s="2"/>
      <c r="AI891" s="2"/>
      <c r="AJ891" s="2"/>
      <c r="AK891" s="2"/>
    </row>
    <row r="892" spans="2:37">
      <c r="B892" s="2"/>
      <c r="C892" s="2"/>
      <c r="D892" s="159"/>
      <c r="E892" s="2"/>
      <c r="F892" s="159"/>
      <c r="G892" s="201"/>
      <c r="H892" s="2"/>
      <c r="I892" s="159"/>
      <c r="J892" s="201"/>
      <c r="K892" s="2"/>
      <c r="L892" s="2"/>
      <c r="M892" s="2"/>
      <c r="N892" s="2"/>
      <c r="O892" s="2"/>
      <c r="P892" s="2"/>
      <c r="Q892" s="2"/>
      <c r="R892" s="2"/>
      <c r="S892" s="2"/>
      <c r="T892" s="2"/>
      <c r="U892" s="2"/>
      <c r="V892" s="2"/>
      <c r="W892" s="2"/>
      <c r="X892" s="2"/>
      <c r="Y892" s="2"/>
      <c r="Z892" s="2"/>
      <c r="AA892" s="2"/>
      <c r="AB892" s="2"/>
      <c r="AC892" s="2"/>
      <c r="AD892" s="2"/>
      <c r="AE892" s="2"/>
      <c r="AF892" s="2"/>
      <c r="AG892" s="2"/>
      <c r="AH892" s="2"/>
      <c r="AI892" s="2"/>
      <c r="AJ892" s="2"/>
      <c r="AK892" s="2"/>
    </row>
    <row r="893" spans="2:37">
      <c r="B893" s="2"/>
      <c r="C893" s="2"/>
      <c r="D893" s="159"/>
      <c r="E893" s="2"/>
      <c r="F893" s="159"/>
      <c r="G893" s="201"/>
      <c r="H893" s="2"/>
      <c r="I893" s="159"/>
      <c r="J893" s="201"/>
      <c r="K893" s="2"/>
      <c r="L893" s="2"/>
      <c r="M893" s="2"/>
      <c r="N893" s="2"/>
      <c r="O893" s="2"/>
      <c r="P893" s="2"/>
      <c r="Q893" s="2"/>
      <c r="R893" s="2"/>
      <c r="S893" s="2"/>
      <c r="T893" s="2"/>
      <c r="U893" s="2"/>
      <c r="V893" s="2"/>
      <c r="W893" s="2"/>
      <c r="X893" s="2"/>
      <c r="Y893" s="2"/>
      <c r="Z893" s="2"/>
      <c r="AA893" s="2"/>
      <c r="AB893" s="2"/>
      <c r="AC893" s="2"/>
      <c r="AD893" s="2"/>
      <c r="AE893" s="2"/>
      <c r="AF893" s="2"/>
      <c r="AG893" s="2"/>
      <c r="AH893" s="2"/>
      <c r="AI893" s="2"/>
      <c r="AJ893" s="2"/>
      <c r="AK893" s="2"/>
    </row>
    <row r="894" spans="2:37" ht="18">
      <c r="B894" s="316" t="s">
        <v>149</v>
      </c>
      <c r="C894" s="143"/>
      <c r="D894" s="143"/>
      <c r="E894" s="143"/>
      <c r="F894" s="144"/>
      <c r="G894" s="144"/>
      <c r="H894" s="144"/>
      <c r="I894" s="143"/>
      <c r="J894" s="143"/>
      <c r="K894" s="143"/>
      <c r="L894" s="143"/>
      <c r="M894" s="2"/>
      <c r="N894" s="2"/>
      <c r="O894" s="2"/>
      <c r="P894" s="2"/>
      <c r="Q894" s="2"/>
      <c r="R894" s="2"/>
      <c r="S894" s="2"/>
      <c r="T894" s="2"/>
      <c r="U894" s="2"/>
      <c r="V894" s="2"/>
      <c r="W894" s="2"/>
      <c r="X894" s="2"/>
      <c r="Y894" s="2"/>
      <c r="Z894" s="2"/>
      <c r="AA894" s="2"/>
      <c r="AB894" s="2"/>
      <c r="AC894" s="2"/>
      <c r="AD894" s="2"/>
      <c r="AE894" s="2"/>
      <c r="AF894" s="2"/>
      <c r="AG894" s="2"/>
      <c r="AH894" s="2"/>
      <c r="AI894" s="2"/>
      <c r="AJ894" s="2"/>
      <c r="AK894" s="2"/>
    </row>
    <row r="895" spans="2:37">
      <c r="B895" s="2"/>
      <c r="C895" s="386" t="s">
        <v>1</v>
      </c>
      <c r="D895" s="379"/>
      <c r="E895" s="4"/>
      <c r="F895" s="379"/>
      <c r="G895" s="380"/>
      <c r="H895" s="4"/>
      <c r="I895" s="317"/>
      <c r="J895" s="380"/>
      <c r="K895" s="2"/>
      <c r="L895" s="2"/>
      <c r="M895" s="2"/>
      <c r="N895" s="2"/>
      <c r="O895" s="2"/>
      <c r="P895" s="2"/>
      <c r="Q895" s="2"/>
      <c r="R895" s="2"/>
      <c r="S895" s="2"/>
      <c r="T895" s="2"/>
      <c r="U895" s="2"/>
      <c r="V895" s="2"/>
      <c r="W895" s="2"/>
      <c r="X895" s="2"/>
      <c r="Y895" s="2"/>
      <c r="Z895" s="2"/>
      <c r="AA895" s="2"/>
      <c r="AB895" s="2"/>
      <c r="AC895" s="2"/>
      <c r="AD895" s="2"/>
      <c r="AE895" s="2"/>
      <c r="AF895" s="2"/>
      <c r="AG895" s="2"/>
      <c r="AH895" s="2"/>
      <c r="AI895" s="2"/>
      <c r="AJ895" s="2"/>
      <c r="AK895" s="2"/>
    </row>
    <row r="896" spans="2:37">
      <c r="B896" s="2"/>
      <c r="C896" s="145"/>
      <c r="D896" s="381" t="str">
        <f>D4</f>
        <v>2023-2024</v>
      </c>
      <c r="E896" s="43"/>
      <c r="F896" s="740" t="str">
        <f>F4</f>
        <v>2024-2025</v>
      </c>
      <c r="G896" s="741"/>
      <c r="H896" s="319" t="s">
        <v>2</v>
      </c>
      <c r="J896" s="740" t="str">
        <f>I4</f>
        <v>2025-2026</v>
      </c>
      <c r="K896" s="741"/>
      <c r="L896" s="387" t="s">
        <v>2</v>
      </c>
      <c r="M896" s="2"/>
      <c r="N896" s="2"/>
      <c r="O896" s="2"/>
      <c r="P896" s="2"/>
      <c r="Q896" s="2"/>
      <c r="R896" s="2"/>
      <c r="S896" s="2"/>
      <c r="T896" s="2"/>
      <c r="U896" s="2"/>
      <c r="V896" s="2"/>
      <c r="W896" s="2"/>
      <c r="X896" s="2"/>
      <c r="Y896" s="2"/>
      <c r="Z896" s="2"/>
      <c r="AA896" s="2"/>
      <c r="AB896" s="2"/>
      <c r="AC896" s="2"/>
      <c r="AD896" s="2"/>
      <c r="AE896" s="2"/>
      <c r="AF896" s="2"/>
      <c r="AG896" s="2"/>
      <c r="AH896" s="2"/>
      <c r="AI896" s="2"/>
      <c r="AJ896" s="2"/>
      <c r="AK896" s="2"/>
    </row>
    <row r="897" spans="2:37">
      <c r="B897" s="2"/>
      <c r="C897" s="220" t="s">
        <v>4</v>
      </c>
      <c r="D897" s="323" t="s">
        <v>5</v>
      </c>
      <c r="E897" s="43"/>
      <c r="F897" s="736" t="s">
        <v>5</v>
      </c>
      <c r="G897" s="737"/>
      <c r="H897" s="322" t="s">
        <v>144</v>
      </c>
      <c r="J897" s="736" t="s">
        <v>6</v>
      </c>
      <c r="K897" s="737"/>
      <c r="L897" s="388" t="s">
        <v>144</v>
      </c>
      <c r="M897" s="2"/>
      <c r="N897" s="2"/>
      <c r="O897" s="2"/>
      <c r="P897" s="2"/>
      <c r="Q897" s="2"/>
      <c r="R897" s="2"/>
      <c r="S897" s="2"/>
      <c r="T897" s="2"/>
      <c r="U897" s="2"/>
      <c r="V897" s="2"/>
      <c r="W897" s="2"/>
      <c r="X897" s="2"/>
      <c r="Y897" s="2"/>
      <c r="Z897" s="2"/>
      <c r="AA897" s="2"/>
      <c r="AB897" s="2"/>
      <c r="AC897" s="2"/>
      <c r="AD897" s="2"/>
      <c r="AE897" s="2"/>
      <c r="AF897" s="2"/>
      <c r="AG897" s="2"/>
      <c r="AH897" s="2"/>
      <c r="AI897" s="2"/>
      <c r="AJ897" s="2"/>
      <c r="AK897" s="2"/>
    </row>
    <row r="898" spans="2:37">
      <c r="B898" s="324" t="s">
        <v>34</v>
      </c>
      <c r="C898" s="325"/>
      <c r="D898" s="390">
        <v>0</v>
      </c>
      <c r="E898" s="327"/>
      <c r="F898" s="744">
        <v>0</v>
      </c>
      <c r="G898" s="745"/>
      <c r="H898" s="328">
        <f t="shared" ref="H898:H936" si="90">IF(D898=0,0,((F898-D898)/D898))</f>
        <v>0</v>
      </c>
      <c r="J898" s="731">
        <v>0</v>
      </c>
      <c r="K898" s="732"/>
      <c r="L898" s="328">
        <f t="shared" ref="L898:L919" si="91">IF(F898=0,0,((J898-F898)/F898))</f>
        <v>0</v>
      </c>
      <c r="M898" s="2"/>
      <c r="N898" s="2"/>
      <c r="O898" s="2"/>
      <c r="P898" s="2"/>
      <c r="Q898" s="2"/>
      <c r="R898" s="2"/>
      <c r="S898" s="2"/>
      <c r="T898" s="2"/>
      <c r="U898" s="2"/>
      <c r="V898" s="2"/>
      <c r="W898" s="2"/>
      <c r="X898" s="2"/>
      <c r="Y898" s="2"/>
      <c r="Z898" s="2"/>
      <c r="AA898" s="2"/>
      <c r="AB898" s="2"/>
      <c r="AC898" s="2"/>
      <c r="AD898" s="2"/>
      <c r="AE898" s="2"/>
      <c r="AF898" s="2"/>
      <c r="AG898" s="2"/>
      <c r="AH898" s="2"/>
      <c r="AI898" s="2"/>
      <c r="AJ898" s="2"/>
      <c r="AK898" s="2"/>
    </row>
    <row r="899" spans="2:37">
      <c r="B899" s="44" t="s">
        <v>36</v>
      </c>
      <c r="C899" s="44"/>
      <c r="D899" s="329">
        <f>SUM([1]C07!$C$203:$C$217)</f>
        <v>1182</v>
      </c>
      <c r="E899" s="327"/>
      <c r="F899" s="743">
        <f>SUM([1]C07!$D$203:$D$217)</f>
        <v>0</v>
      </c>
      <c r="G899" s="742"/>
      <c r="H899" s="330">
        <f t="shared" si="90"/>
        <v>-1</v>
      </c>
      <c r="J899" s="671">
        <f>SUM([1]C07!$E$203:$E$217)</f>
        <v>0</v>
      </c>
      <c r="K899" s="653"/>
      <c r="L899" s="330">
        <f t="shared" si="91"/>
        <v>0</v>
      </c>
      <c r="M899" s="2"/>
      <c r="N899" s="2"/>
      <c r="O899" s="2"/>
      <c r="P899" s="2"/>
      <c r="Q899" s="2"/>
      <c r="R899" s="2"/>
      <c r="S899" s="2"/>
      <c r="T899" s="2"/>
      <c r="U899" s="2"/>
      <c r="V899" s="2"/>
      <c r="W899" s="2"/>
      <c r="X899" s="2"/>
      <c r="Y899" s="2"/>
      <c r="Z899" s="2"/>
      <c r="AA899" s="2"/>
      <c r="AB899" s="2"/>
      <c r="AC899" s="2"/>
      <c r="AD899" s="2"/>
      <c r="AE899" s="2"/>
      <c r="AF899" s="2"/>
      <c r="AG899" s="2"/>
      <c r="AH899" s="2"/>
      <c r="AI899" s="2"/>
      <c r="AJ899" s="2"/>
      <c r="AK899" s="2"/>
    </row>
    <row r="900" spans="2:37">
      <c r="B900" s="324" t="s">
        <v>35</v>
      </c>
      <c r="C900" s="324"/>
      <c r="D900" s="339">
        <v>0</v>
      </c>
      <c r="E900" s="327"/>
      <c r="F900" s="735">
        <v>0</v>
      </c>
      <c r="G900" s="735"/>
      <c r="H900" s="332">
        <f t="shared" si="90"/>
        <v>0</v>
      </c>
      <c r="J900" s="654">
        <v>0</v>
      </c>
      <c r="K900" s="655"/>
      <c r="L900" s="332">
        <f t="shared" si="91"/>
        <v>0</v>
      </c>
      <c r="M900" s="2"/>
      <c r="N900" s="2"/>
      <c r="O900" s="2"/>
      <c r="P900" s="2"/>
      <c r="Q900" s="2"/>
      <c r="R900" s="2"/>
      <c r="S900" s="2"/>
      <c r="T900" s="2"/>
      <c r="U900" s="2"/>
      <c r="V900" s="2"/>
      <c r="W900" s="2"/>
      <c r="X900" s="2"/>
      <c r="Y900" s="2"/>
      <c r="Z900" s="2"/>
      <c r="AA900" s="2"/>
      <c r="AB900" s="2"/>
      <c r="AC900" s="2"/>
      <c r="AD900" s="2"/>
      <c r="AE900" s="2"/>
      <c r="AF900" s="2"/>
      <c r="AG900" s="2"/>
      <c r="AH900" s="2"/>
      <c r="AI900" s="2"/>
      <c r="AJ900" s="2"/>
      <c r="AK900" s="2"/>
    </row>
    <row r="901" spans="2:37">
      <c r="B901" s="1" t="s">
        <v>140</v>
      </c>
      <c r="C901" s="333"/>
      <c r="D901" s="336">
        <v>0</v>
      </c>
      <c r="E901" s="327"/>
      <c r="F901" s="742">
        <v>0</v>
      </c>
      <c r="G901" s="742"/>
      <c r="H901" s="330">
        <f t="shared" si="90"/>
        <v>0</v>
      </c>
      <c r="J901" s="733">
        <v>0</v>
      </c>
      <c r="K901" s="673"/>
      <c r="L901" s="330">
        <f t="shared" si="91"/>
        <v>0</v>
      </c>
      <c r="M901" s="2"/>
      <c r="N901" s="2"/>
      <c r="O901" s="2"/>
      <c r="P901" s="2"/>
      <c r="Q901" s="2"/>
      <c r="R901" s="2"/>
      <c r="S901" s="2"/>
      <c r="T901" s="2"/>
      <c r="U901" s="2"/>
      <c r="V901" s="2"/>
      <c r="W901" s="2"/>
      <c r="X901" s="2"/>
      <c r="Y901" s="2"/>
      <c r="Z901" s="2"/>
      <c r="AA901" s="2"/>
      <c r="AB901" s="2"/>
      <c r="AC901" s="2"/>
      <c r="AD901" s="2"/>
      <c r="AE901" s="2"/>
      <c r="AF901" s="2"/>
      <c r="AG901" s="2"/>
      <c r="AH901" s="2"/>
      <c r="AI901" s="2"/>
      <c r="AJ901" s="2"/>
      <c r="AK901" s="2"/>
    </row>
    <row r="902" spans="2:37">
      <c r="B902" s="324" t="s">
        <v>277</v>
      </c>
      <c r="C902" s="335"/>
      <c r="D902" s="339">
        <v>0</v>
      </c>
      <c r="E902" s="327"/>
      <c r="F902" s="735">
        <v>0</v>
      </c>
      <c r="G902" s="735"/>
      <c r="H902" s="332">
        <f t="shared" si="90"/>
        <v>0</v>
      </c>
      <c r="J902" s="734">
        <v>0</v>
      </c>
      <c r="K902" s="675"/>
      <c r="L902" s="332">
        <f t="shared" si="91"/>
        <v>0</v>
      </c>
      <c r="M902" s="2"/>
      <c r="N902" s="2"/>
      <c r="O902" s="2"/>
      <c r="P902" s="2"/>
      <c r="Q902" s="2"/>
      <c r="R902" s="2"/>
      <c r="S902" s="2"/>
      <c r="T902" s="2"/>
      <c r="U902" s="2"/>
      <c r="V902" s="2"/>
      <c r="W902" s="2"/>
      <c r="X902" s="2"/>
      <c r="Y902" s="2"/>
      <c r="Z902" s="2"/>
      <c r="AA902" s="2"/>
      <c r="AB902" s="2"/>
      <c r="AC902" s="2"/>
      <c r="AD902" s="2"/>
      <c r="AE902" s="2"/>
      <c r="AF902" s="2"/>
      <c r="AG902" s="2"/>
      <c r="AH902" s="2"/>
      <c r="AI902" s="2"/>
      <c r="AJ902" s="2"/>
      <c r="AK902" s="2"/>
    </row>
    <row r="903" spans="2:37">
      <c r="B903" s="1" t="s">
        <v>39</v>
      </c>
      <c r="C903" s="1"/>
      <c r="D903" s="336">
        <v>0</v>
      </c>
      <c r="E903" s="327"/>
      <c r="F903" s="652">
        <v>0</v>
      </c>
      <c r="G903" s="653"/>
      <c r="H903" s="330">
        <f t="shared" si="90"/>
        <v>0</v>
      </c>
      <c r="J903" s="652">
        <v>0</v>
      </c>
      <c r="K903" s="653"/>
      <c r="L903" s="330">
        <f t="shared" si="91"/>
        <v>0</v>
      </c>
      <c r="M903" s="2"/>
      <c r="N903" s="2"/>
      <c r="O903" s="2"/>
      <c r="P903" s="2"/>
      <c r="Q903" s="2"/>
      <c r="R903" s="2"/>
      <c r="S903" s="2"/>
      <c r="T903" s="2"/>
      <c r="U903" s="2"/>
      <c r="V903" s="2"/>
      <c r="W903" s="2"/>
      <c r="X903" s="2"/>
      <c r="Y903" s="2"/>
      <c r="Z903" s="2"/>
      <c r="AA903" s="2"/>
      <c r="AB903" s="2"/>
      <c r="AC903" s="2"/>
      <c r="AD903" s="2"/>
      <c r="AE903" s="2"/>
      <c r="AF903" s="2"/>
      <c r="AG903" s="2"/>
      <c r="AH903" s="2"/>
      <c r="AI903" s="2"/>
      <c r="AJ903" s="2"/>
      <c r="AK903" s="2"/>
    </row>
    <row r="904" spans="2:37">
      <c r="B904" s="324" t="s">
        <v>40</v>
      </c>
      <c r="C904" s="324"/>
      <c r="D904" s="339">
        <v>0</v>
      </c>
      <c r="E904" s="327"/>
      <c r="F904" s="654">
        <v>0</v>
      </c>
      <c r="G904" s="655"/>
      <c r="H904" s="332">
        <f t="shared" si="90"/>
        <v>0</v>
      </c>
      <c r="J904" s="654">
        <v>0</v>
      </c>
      <c r="K904" s="655"/>
      <c r="L904" s="332">
        <f t="shared" si="91"/>
        <v>0</v>
      </c>
      <c r="M904" s="2"/>
      <c r="N904" s="2"/>
      <c r="O904" s="2"/>
      <c r="P904" s="2"/>
      <c r="Q904" s="2"/>
      <c r="R904" s="2"/>
      <c r="S904" s="2"/>
      <c r="T904" s="2"/>
      <c r="U904" s="2"/>
      <c r="V904" s="2"/>
      <c r="W904" s="2"/>
      <c r="X904" s="2"/>
      <c r="Y904" s="2"/>
      <c r="Z904" s="2"/>
      <c r="AA904" s="2"/>
      <c r="AB904" s="2"/>
      <c r="AC904" s="2"/>
      <c r="AD904" s="2"/>
      <c r="AE904" s="2"/>
      <c r="AF904" s="2"/>
      <c r="AG904" s="2"/>
      <c r="AH904" s="2"/>
      <c r="AI904" s="2"/>
      <c r="AJ904" s="2"/>
      <c r="AK904" s="2"/>
    </row>
    <row r="905" spans="2:37">
      <c r="B905" s="1" t="s">
        <v>41</v>
      </c>
      <c r="C905" s="1"/>
      <c r="D905" s="336">
        <v>0</v>
      </c>
      <c r="E905" s="327"/>
      <c r="F905" s="652">
        <v>0</v>
      </c>
      <c r="G905" s="653"/>
      <c r="H905" s="330">
        <f t="shared" si="90"/>
        <v>0</v>
      </c>
      <c r="J905" s="652">
        <v>0</v>
      </c>
      <c r="K905" s="653"/>
      <c r="L905" s="330">
        <f t="shared" si="91"/>
        <v>0</v>
      </c>
      <c r="M905" s="2"/>
      <c r="N905" s="2"/>
      <c r="O905" s="2"/>
      <c r="P905" s="2"/>
      <c r="Q905" s="2"/>
      <c r="R905" s="2"/>
      <c r="S905" s="2"/>
      <c r="T905" s="2"/>
      <c r="U905" s="2"/>
      <c r="V905" s="2"/>
      <c r="W905" s="2"/>
      <c r="X905" s="2"/>
      <c r="Y905" s="2"/>
      <c r="Z905" s="2"/>
      <c r="AA905" s="2"/>
      <c r="AB905" s="2"/>
      <c r="AC905" s="2"/>
      <c r="AD905" s="2"/>
      <c r="AE905" s="2"/>
      <c r="AF905" s="2"/>
      <c r="AG905" s="2"/>
      <c r="AH905" s="2"/>
      <c r="AI905" s="2"/>
      <c r="AJ905" s="2"/>
      <c r="AK905" s="2"/>
    </row>
    <row r="906" spans="2:37">
      <c r="B906" s="324" t="s">
        <v>70</v>
      </c>
      <c r="C906" s="324"/>
      <c r="D906" s="339">
        <v>0</v>
      </c>
      <c r="E906" s="327"/>
      <c r="F906" s="654">
        <v>0</v>
      </c>
      <c r="G906" s="655"/>
      <c r="H906" s="332">
        <f t="shared" si="90"/>
        <v>0</v>
      </c>
      <c r="J906" s="654">
        <v>0</v>
      </c>
      <c r="K906" s="655"/>
      <c r="L906" s="332">
        <f t="shared" si="91"/>
        <v>0</v>
      </c>
      <c r="M906" s="2"/>
      <c r="N906" s="2"/>
      <c r="O906" s="2"/>
      <c r="P906" s="2"/>
      <c r="Q906" s="2"/>
      <c r="R906" s="2"/>
      <c r="S906" s="2"/>
      <c r="T906" s="2"/>
      <c r="U906" s="2"/>
      <c r="V906" s="2"/>
      <c r="W906" s="2"/>
      <c r="X906" s="2"/>
      <c r="Y906" s="2"/>
      <c r="Z906" s="2"/>
      <c r="AA906" s="2"/>
      <c r="AB906" s="2"/>
      <c r="AC906" s="2"/>
      <c r="AD906" s="2"/>
      <c r="AE906" s="2"/>
      <c r="AF906" s="2"/>
      <c r="AG906" s="2"/>
      <c r="AH906" s="2"/>
      <c r="AI906" s="2"/>
      <c r="AJ906" s="2"/>
      <c r="AK906" s="2"/>
    </row>
    <row r="907" spans="2:37">
      <c r="B907" s="1" t="s">
        <v>43</v>
      </c>
      <c r="C907" s="1"/>
      <c r="D907" s="336">
        <v>0</v>
      </c>
      <c r="E907" s="327"/>
      <c r="F907" s="652">
        <v>0</v>
      </c>
      <c r="G907" s="653"/>
      <c r="H907" s="330">
        <f t="shared" si="90"/>
        <v>0</v>
      </c>
      <c r="J907" s="652">
        <v>0</v>
      </c>
      <c r="K907" s="653"/>
      <c r="L907" s="330">
        <f t="shared" si="91"/>
        <v>0</v>
      </c>
      <c r="M907" s="2"/>
      <c r="N907" s="2"/>
      <c r="O907" s="2"/>
      <c r="P907" s="2"/>
      <c r="Q907" s="2"/>
      <c r="R907" s="2"/>
      <c r="S907" s="2"/>
      <c r="T907" s="2"/>
      <c r="U907" s="2"/>
      <c r="V907" s="2"/>
      <c r="W907" s="2"/>
      <c r="X907" s="2"/>
      <c r="Y907" s="2"/>
      <c r="Z907" s="2"/>
      <c r="AA907" s="2"/>
      <c r="AB907" s="2"/>
      <c r="AC907" s="2"/>
      <c r="AD907" s="2"/>
      <c r="AE907" s="2"/>
      <c r="AF907" s="2"/>
      <c r="AG907" s="2"/>
      <c r="AH907" s="2"/>
      <c r="AI907" s="2"/>
      <c r="AJ907" s="2"/>
      <c r="AK907" s="2"/>
    </row>
    <row r="908" spans="2:37">
      <c r="B908" s="324" t="s">
        <v>44</v>
      </c>
      <c r="C908" s="324"/>
      <c r="D908" s="339">
        <v>0</v>
      </c>
      <c r="E908" s="327"/>
      <c r="F908" s="654">
        <v>0</v>
      </c>
      <c r="G908" s="655"/>
      <c r="H908" s="332">
        <f t="shared" si="90"/>
        <v>0</v>
      </c>
      <c r="J908" s="654">
        <v>0</v>
      </c>
      <c r="K908" s="655"/>
      <c r="L908" s="332">
        <f t="shared" si="91"/>
        <v>0</v>
      </c>
      <c r="M908" s="2"/>
      <c r="N908" s="2"/>
      <c r="O908" s="2"/>
      <c r="P908" s="2"/>
      <c r="Q908" s="2"/>
      <c r="R908" s="2"/>
      <c r="S908" s="2"/>
      <c r="T908" s="2"/>
      <c r="U908" s="2"/>
      <c r="V908" s="2"/>
      <c r="W908" s="2"/>
      <c r="X908" s="2"/>
      <c r="Y908" s="2"/>
      <c r="Z908" s="2"/>
      <c r="AA908" s="2"/>
      <c r="AB908" s="2"/>
      <c r="AC908" s="2"/>
      <c r="AD908" s="2"/>
      <c r="AE908" s="2"/>
      <c r="AF908" s="2"/>
      <c r="AG908" s="2"/>
      <c r="AH908" s="2"/>
      <c r="AI908" s="2"/>
      <c r="AJ908" s="2"/>
      <c r="AK908" s="2"/>
    </row>
    <row r="909" spans="2:37">
      <c r="B909" s="1" t="s">
        <v>45</v>
      </c>
      <c r="C909" s="337"/>
      <c r="D909" s="334">
        <f>SUM([1]C024!$C$70:$C$84)</f>
        <v>117575</v>
      </c>
      <c r="E909" s="327"/>
      <c r="F909" s="671">
        <f>SUM([1]C024!$D$70:$D$84)</f>
        <v>129945</v>
      </c>
      <c r="G909" s="653"/>
      <c r="H909" s="330">
        <f t="shared" si="90"/>
        <v>0.11</v>
      </c>
      <c r="J909" s="671">
        <f>SUM([1]C024!$E$70:$E$84)</f>
        <v>127000</v>
      </c>
      <c r="K909" s="653"/>
      <c r="L909" s="330">
        <f t="shared" si="91"/>
        <v>-0.02</v>
      </c>
      <c r="M909" s="2"/>
      <c r="N909" s="2"/>
      <c r="O909" s="2"/>
      <c r="P909" s="2"/>
      <c r="Q909" s="2"/>
      <c r="R909" s="2"/>
      <c r="S909" s="2"/>
      <c r="T909" s="2"/>
      <c r="U909" s="2"/>
      <c r="V909" s="2"/>
      <c r="W909" s="2"/>
      <c r="X909" s="2"/>
      <c r="Y909" s="2"/>
      <c r="Z909" s="2"/>
      <c r="AA909" s="2"/>
      <c r="AB909" s="2"/>
      <c r="AC909" s="2"/>
      <c r="AD909" s="2"/>
      <c r="AE909" s="2"/>
      <c r="AF909" s="2"/>
      <c r="AG909" s="2"/>
      <c r="AH909" s="2"/>
      <c r="AI909" s="2"/>
      <c r="AJ909" s="2"/>
      <c r="AK909" s="2"/>
    </row>
    <row r="910" spans="2:37">
      <c r="B910" s="324" t="s">
        <v>46</v>
      </c>
      <c r="C910" s="338">
        <v>26</v>
      </c>
      <c r="D910" s="339">
        <v>0</v>
      </c>
      <c r="E910" s="327"/>
      <c r="F910" s="654">
        <v>0</v>
      </c>
      <c r="G910" s="655"/>
      <c r="H910" s="332">
        <f t="shared" si="90"/>
        <v>0</v>
      </c>
      <c r="J910" s="654">
        <v>0</v>
      </c>
      <c r="K910" s="655"/>
      <c r="L910" s="332">
        <f t="shared" si="91"/>
        <v>0</v>
      </c>
      <c r="M910" s="2"/>
      <c r="N910" s="2"/>
      <c r="O910" s="2"/>
      <c r="P910" s="2"/>
      <c r="Q910" s="2"/>
      <c r="R910" s="2"/>
      <c r="S910" s="2"/>
      <c r="T910" s="2"/>
      <c r="U910" s="2"/>
      <c r="V910" s="2"/>
      <c r="W910" s="2"/>
      <c r="X910" s="2"/>
      <c r="Y910" s="2"/>
      <c r="Z910" s="2"/>
      <c r="AA910" s="2"/>
      <c r="AB910" s="2"/>
      <c r="AC910" s="2"/>
      <c r="AD910" s="2"/>
      <c r="AE910" s="2"/>
      <c r="AF910" s="2"/>
      <c r="AG910" s="2"/>
      <c r="AH910" s="2"/>
      <c r="AI910" s="2"/>
      <c r="AJ910" s="2"/>
      <c r="AK910" s="2"/>
    </row>
    <row r="911" spans="2:37">
      <c r="B911" s="1" t="s">
        <v>47</v>
      </c>
      <c r="C911" s="337">
        <v>28</v>
      </c>
      <c r="D911" s="336">
        <v>0</v>
      </c>
      <c r="E911" s="327"/>
      <c r="F911" s="652">
        <v>0</v>
      </c>
      <c r="G911" s="653"/>
      <c r="H911" s="330">
        <f t="shared" si="90"/>
        <v>0</v>
      </c>
      <c r="J911" s="652">
        <v>0</v>
      </c>
      <c r="K911" s="653"/>
      <c r="L911" s="330">
        <f t="shared" si="91"/>
        <v>0</v>
      </c>
      <c r="M911" s="2"/>
      <c r="N911" s="2"/>
      <c r="O911" s="2"/>
      <c r="P911" s="2"/>
      <c r="Q911" s="2"/>
      <c r="R911" s="2"/>
      <c r="S911" s="2"/>
      <c r="T911" s="2"/>
      <c r="U911" s="2"/>
      <c r="V911" s="2"/>
      <c r="W911" s="2"/>
      <c r="X911" s="2"/>
      <c r="Y911" s="2"/>
      <c r="Z911" s="2"/>
      <c r="AA911" s="2"/>
      <c r="AB911" s="2"/>
      <c r="AC911" s="2"/>
      <c r="AD911" s="2"/>
      <c r="AE911" s="2"/>
      <c r="AF911" s="2"/>
      <c r="AG911" s="2"/>
      <c r="AH911" s="2"/>
      <c r="AI911" s="2"/>
      <c r="AJ911" s="2"/>
      <c r="AK911" s="2"/>
    </row>
    <row r="912" spans="2:37">
      <c r="B912" s="324" t="s">
        <v>48</v>
      </c>
      <c r="C912" s="338"/>
      <c r="D912" s="339">
        <v>0</v>
      </c>
      <c r="E912" s="327"/>
      <c r="F912" s="654">
        <v>0</v>
      </c>
      <c r="G912" s="655"/>
      <c r="H912" s="332">
        <f t="shared" si="90"/>
        <v>0</v>
      </c>
      <c r="J912" s="654">
        <v>0</v>
      </c>
      <c r="K912" s="655"/>
      <c r="L912" s="332">
        <f t="shared" si="91"/>
        <v>0</v>
      </c>
      <c r="M912" s="2"/>
      <c r="N912" s="2"/>
      <c r="O912" s="2"/>
      <c r="P912" s="2"/>
      <c r="Q912" s="2"/>
      <c r="R912" s="2"/>
      <c r="S912" s="2"/>
      <c r="T912" s="2"/>
      <c r="U912" s="2"/>
      <c r="V912" s="2"/>
      <c r="W912" s="2"/>
      <c r="X912" s="2"/>
      <c r="Y912" s="2"/>
      <c r="Z912" s="2"/>
      <c r="AA912" s="2"/>
      <c r="AB912" s="2"/>
      <c r="AC912" s="2"/>
      <c r="AD912" s="2"/>
      <c r="AE912" s="2"/>
      <c r="AF912" s="2"/>
      <c r="AG912" s="2"/>
      <c r="AH912" s="2"/>
      <c r="AI912" s="2"/>
      <c r="AJ912" s="2"/>
      <c r="AK912" s="2"/>
    </row>
    <row r="913" spans="2:37">
      <c r="B913" s="1" t="s">
        <v>37</v>
      </c>
      <c r="C913" s="337"/>
      <c r="D913" s="336">
        <v>0</v>
      </c>
      <c r="E913" s="327"/>
      <c r="F913" s="652">
        <v>0</v>
      </c>
      <c r="G913" s="653"/>
      <c r="H913" s="330">
        <f t="shared" si="90"/>
        <v>0</v>
      </c>
      <c r="J913" s="652">
        <v>0</v>
      </c>
      <c r="K913" s="653"/>
      <c r="L913" s="330">
        <f t="shared" si="91"/>
        <v>0</v>
      </c>
      <c r="M913" s="2"/>
      <c r="N913" s="2"/>
      <c r="O913" s="2"/>
      <c r="P913" s="2"/>
      <c r="Q913" s="2"/>
      <c r="R913" s="2"/>
      <c r="S913" s="2"/>
      <c r="T913" s="2"/>
      <c r="U913" s="2"/>
      <c r="V913" s="2"/>
      <c r="W913" s="2"/>
      <c r="X913" s="2"/>
      <c r="Y913" s="2"/>
      <c r="Z913" s="2"/>
      <c r="AA913" s="2"/>
      <c r="AB913" s="2"/>
      <c r="AC913" s="2"/>
      <c r="AD913" s="2"/>
      <c r="AE913" s="2"/>
      <c r="AF913" s="2"/>
      <c r="AG913" s="2"/>
      <c r="AH913" s="2"/>
      <c r="AI913" s="2"/>
      <c r="AJ913" s="2"/>
      <c r="AK913" s="2"/>
    </row>
    <row r="914" spans="2:37">
      <c r="B914" s="324" t="s">
        <v>49</v>
      </c>
      <c r="C914" s="338"/>
      <c r="D914" s="339">
        <v>0</v>
      </c>
      <c r="E914" s="327"/>
      <c r="F914" s="654">
        <v>0</v>
      </c>
      <c r="G914" s="655"/>
      <c r="H914" s="332">
        <f t="shared" si="90"/>
        <v>0</v>
      </c>
      <c r="J914" s="654">
        <v>0</v>
      </c>
      <c r="K914" s="655"/>
      <c r="L914" s="332">
        <f t="shared" si="91"/>
        <v>0</v>
      </c>
      <c r="M914" s="2"/>
      <c r="N914" s="2"/>
      <c r="O914" s="2"/>
      <c r="P914" s="2"/>
      <c r="Q914" s="2"/>
      <c r="R914" s="2"/>
      <c r="S914" s="2"/>
      <c r="T914" s="2"/>
      <c r="U914" s="2"/>
      <c r="V914" s="2"/>
      <c r="W914" s="2"/>
      <c r="X914" s="2"/>
      <c r="Y914" s="2"/>
      <c r="Z914" s="2"/>
      <c r="AA914" s="2"/>
      <c r="AB914" s="2"/>
      <c r="AC914" s="2"/>
      <c r="AD914" s="2"/>
      <c r="AE914" s="2"/>
      <c r="AF914" s="2"/>
      <c r="AG914" s="2"/>
      <c r="AH914" s="2"/>
      <c r="AI914" s="2"/>
      <c r="AJ914" s="2"/>
      <c r="AK914" s="2"/>
    </row>
    <row r="915" spans="2:37">
      <c r="B915" s="370" t="str">
        <f>B338</f>
        <v>Career and Postsecondary Ed.</v>
      </c>
      <c r="C915" s="337"/>
      <c r="D915" s="336">
        <v>0</v>
      </c>
      <c r="E915" s="327"/>
      <c r="F915" s="652">
        <v>0</v>
      </c>
      <c r="G915" s="653"/>
      <c r="H915" s="330">
        <f t="shared" si="90"/>
        <v>0</v>
      </c>
      <c r="J915" s="652">
        <v>0</v>
      </c>
      <c r="K915" s="653"/>
      <c r="L915" s="330">
        <f t="shared" si="91"/>
        <v>0</v>
      </c>
      <c r="M915" s="2"/>
      <c r="N915" s="2"/>
      <c r="O915" s="2"/>
      <c r="P915" s="2"/>
      <c r="Q915" s="2"/>
      <c r="R915" s="2"/>
      <c r="S915" s="2"/>
      <c r="T915" s="2"/>
      <c r="U915" s="2"/>
      <c r="V915" s="2"/>
      <c r="W915" s="2"/>
      <c r="X915" s="2"/>
      <c r="Y915" s="2"/>
      <c r="Z915" s="2"/>
      <c r="AA915" s="2"/>
      <c r="AB915" s="2"/>
      <c r="AC915" s="2"/>
      <c r="AD915" s="2"/>
      <c r="AE915" s="2"/>
      <c r="AF915" s="2"/>
      <c r="AG915" s="2"/>
      <c r="AH915" s="2"/>
      <c r="AI915" s="2"/>
      <c r="AJ915" s="2"/>
      <c r="AK915" s="2"/>
    </row>
    <row r="916" spans="2:37" ht="15.75">
      <c r="B916" s="324" t="s">
        <v>178</v>
      </c>
      <c r="C916" s="338"/>
      <c r="D916" s="331">
        <f>SUM([1]C035!$C$214:$C$228)</f>
        <v>0</v>
      </c>
      <c r="E916" s="327"/>
      <c r="F916" s="656">
        <f>SUM([1]C035!$D$214:$D$228)</f>
        <v>464</v>
      </c>
      <c r="G916" s="655"/>
      <c r="H916" s="332">
        <f t="shared" si="90"/>
        <v>0</v>
      </c>
      <c r="J916" s="656">
        <f>SUM([1]C035!$E$214:$E$228)</f>
        <v>0</v>
      </c>
      <c r="K916" s="655"/>
      <c r="L916" s="332">
        <f t="shared" si="91"/>
        <v>-1</v>
      </c>
      <c r="M916" s="2"/>
      <c r="N916" s="2"/>
      <c r="O916" s="2"/>
      <c r="P916" s="2"/>
      <c r="Q916" s="2"/>
      <c r="R916" s="2"/>
      <c r="S916" s="2"/>
      <c r="T916" s="2"/>
      <c r="U916" s="2"/>
      <c r="V916" s="2"/>
      <c r="W916" s="2"/>
      <c r="X916" s="2"/>
      <c r="Y916" s="2"/>
      <c r="Z916" s="2"/>
      <c r="AA916" s="2"/>
      <c r="AB916" s="2"/>
      <c r="AC916" s="2"/>
      <c r="AD916" s="2"/>
      <c r="AE916" s="2"/>
      <c r="AF916" s="2"/>
      <c r="AG916" s="2"/>
      <c r="AH916" s="2"/>
      <c r="AI916" s="2"/>
      <c r="AJ916" s="2"/>
      <c r="AK916" s="2"/>
    </row>
    <row r="917" spans="2:37">
      <c r="B917" s="1" t="s">
        <v>71</v>
      </c>
      <c r="C917" s="337">
        <v>42</v>
      </c>
      <c r="D917" s="336">
        <v>0</v>
      </c>
      <c r="E917" s="327"/>
      <c r="F917" s="652">
        <v>0</v>
      </c>
      <c r="G917" s="653"/>
      <c r="H917" s="330">
        <f t="shared" si="90"/>
        <v>0</v>
      </c>
      <c r="J917" s="652">
        <v>0</v>
      </c>
      <c r="K917" s="653"/>
      <c r="L917" s="330">
        <f t="shared" si="91"/>
        <v>0</v>
      </c>
      <c r="M917" s="2"/>
      <c r="N917" s="2"/>
      <c r="O917" s="2"/>
      <c r="P917" s="2"/>
      <c r="Q917" s="2"/>
      <c r="R917" s="2"/>
      <c r="S917" s="2"/>
      <c r="T917" s="2"/>
      <c r="U917" s="2"/>
      <c r="V917" s="2"/>
      <c r="W917" s="2"/>
      <c r="X917" s="2"/>
      <c r="Y917" s="2"/>
      <c r="Z917" s="2"/>
      <c r="AA917" s="2"/>
      <c r="AB917" s="2"/>
      <c r="AC917" s="2"/>
      <c r="AD917" s="2"/>
      <c r="AE917" s="2"/>
      <c r="AF917" s="2"/>
      <c r="AG917" s="2"/>
      <c r="AH917" s="2"/>
      <c r="AI917" s="2"/>
      <c r="AJ917" s="2"/>
      <c r="AK917" s="2"/>
    </row>
    <row r="918" spans="2:37">
      <c r="B918" s="324" t="s">
        <v>51</v>
      </c>
      <c r="C918" s="338">
        <v>44</v>
      </c>
      <c r="D918" s="339">
        <v>0</v>
      </c>
      <c r="E918" s="327"/>
      <c r="F918" s="654">
        <v>0</v>
      </c>
      <c r="G918" s="655"/>
      <c r="H918" s="332">
        <f t="shared" si="90"/>
        <v>0</v>
      </c>
      <c r="J918" s="654">
        <v>0</v>
      </c>
      <c r="K918" s="655"/>
      <c r="L918" s="332">
        <f t="shared" si="91"/>
        <v>0</v>
      </c>
      <c r="M918" s="2"/>
      <c r="N918" s="2"/>
      <c r="O918" s="2"/>
      <c r="P918" s="2"/>
      <c r="Q918" s="2"/>
      <c r="R918" s="2"/>
      <c r="S918" s="2"/>
      <c r="T918" s="2"/>
      <c r="U918" s="2"/>
      <c r="V918" s="2"/>
      <c r="W918" s="2"/>
      <c r="X918" s="2"/>
      <c r="Y918" s="2"/>
      <c r="Z918" s="2"/>
      <c r="AA918" s="2"/>
      <c r="AB918" s="2"/>
      <c r="AC918" s="2"/>
      <c r="AD918" s="2"/>
      <c r="AE918" s="2"/>
      <c r="AF918" s="2"/>
      <c r="AG918" s="2"/>
      <c r="AH918" s="2"/>
      <c r="AI918" s="2"/>
      <c r="AJ918" s="2"/>
      <c r="AK918" s="2"/>
    </row>
    <row r="919" spans="2:37">
      <c r="B919" s="45" t="s">
        <v>52</v>
      </c>
      <c r="C919" s="340">
        <v>45</v>
      </c>
      <c r="D919" s="341">
        <v>0</v>
      </c>
      <c r="E919" s="327"/>
      <c r="F919" s="652">
        <v>0</v>
      </c>
      <c r="G919" s="653"/>
      <c r="H919" s="330">
        <f t="shared" si="90"/>
        <v>0</v>
      </c>
      <c r="J919" s="652">
        <v>0</v>
      </c>
      <c r="K919" s="653"/>
      <c r="L919" s="330">
        <f t="shared" si="91"/>
        <v>0</v>
      </c>
      <c r="M919" s="2"/>
      <c r="N919" s="2"/>
      <c r="O919" s="2"/>
      <c r="P919" s="2"/>
      <c r="Q919" s="2"/>
      <c r="R919" s="2"/>
      <c r="S919" s="2"/>
      <c r="T919" s="2"/>
      <c r="U919" s="2"/>
      <c r="V919" s="2"/>
      <c r="W919" s="2"/>
      <c r="X919" s="2"/>
      <c r="Y919" s="2"/>
      <c r="Z919" s="2"/>
      <c r="AA919" s="2"/>
      <c r="AB919" s="2"/>
      <c r="AC919" s="2"/>
      <c r="AD919" s="2"/>
      <c r="AE919" s="2"/>
      <c r="AF919" s="2"/>
      <c r="AG919" s="2"/>
      <c r="AH919" s="2"/>
      <c r="AI919" s="2"/>
      <c r="AJ919" s="2"/>
      <c r="AK919" s="2"/>
    </row>
    <row r="920" spans="2:37">
      <c r="B920" s="342" t="s">
        <v>72</v>
      </c>
      <c r="C920" s="343">
        <v>46</v>
      </c>
      <c r="D920" s="344">
        <v>0</v>
      </c>
      <c r="E920" s="327"/>
      <c r="F920" s="654">
        <v>0</v>
      </c>
      <c r="G920" s="655"/>
      <c r="H920" s="332">
        <f t="shared" si="90"/>
        <v>0</v>
      </c>
      <c r="J920" s="676"/>
      <c r="K920" s="677"/>
      <c r="L920" s="345"/>
      <c r="M920" s="2"/>
      <c r="N920" s="2"/>
      <c r="O920" s="2"/>
      <c r="P920" s="2"/>
      <c r="Q920" s="2"/>
      <c r="R920" s="2"/>
      <c r="S920" s="2"/>
      <c r="T920" s="2"/>
      <c r="U920" s="2"/>
      <c r="V920" s="2"/>
      <c r="W920" s="2"/>
      <c r="X920" s="2"/>
      <c r="Y920" s="2"/>
      <c r="Z920" s="2"/>
      <c r="AA920" s="2"/>
      <c r="AB920" s="2"/>
      <c r="AC920" s="2"/>
      <c r="AD920" s="2"/>
      <c r="AE920" s="2"/>
      <c r="AF920" s="2"/>
      <c r="AG920" s="2"/>
      <c r="AH920" s="2"/>
      <c r="AI920" s="2"/>
      <c r="AJ920" s="2"/>
      <c r="AK920" s="2"/>
    </row>
    <row r="921" spans="2:37">
      <c r="B921" s="45" t="s">
        <v>54</v>
      </c>
      <c r="C921" s="340"/>
      <c r="D921" s="329">
        <f>[1]C051!$C$37</f>
        <v>3400</v>
      </c>
      <c r="E921" s="327"/>
      <c r="F921" s="671">
        <f>[1]C051!$D$37</f>
        <v>3030</v>
      </c>
      <c r="G921" s="653"/>
      <c r="H921" s="330">
        <f t="shared" si="90"/>
        <v>-0.11</v>
      </c>
      <c r="J921" s="671">
        <f>[1]C051!$E$37</f>
        <v>2500</v>
      </c>
      <c r="K921" s="653"/>
      <c r="L921" s="330">
        <f>IF(F921=0,0,((J921-F921)/F921))</f>
        <v>-0.17</v>
      </c>
      <c r="M921" s="2"/>
      <c r="N921" s="2"/>
      <c r="O921" s="2"/>
      <c r="P921" s="2"/>
      <c r="Q921" s="2"/>
      <c r="R921" s="2"/>
      <c r="S921" s="2"/>
      <c r="T921" s="2"/>
      <c r="U921" s="2"/>
      <c r="V921" s="2"/>
      <c r="W921" s="2"/>
      <c r="X921" s="2"/>
      <c r="Y921" s="2"/>
      <c r="Z921" s="2"/>
      <c r="AA921" s="2"/>
      <c r="AB921" s="2"/>
      <c r="AC921" s="2"/>
      <c r="AD921" s="2"/>
      <c r="AE921" s="2"/>
      <c r="AF921" s="2"/>
      <c r="AG921" s="2"/>
      <c r="AH921" s="2"/>
      <c r="AI921" s="2"/>
      <c r="AJ921" s="2"/>
      <c r="AK921" s="2"/>
    </row>
    <row r="922" spans="2:37">
      <c r="B922" s="342" t="s">
        <v>55</v>
      </c>
      <c r="C922" s="343"/>
      <c r="D922" s="344">
        <v>0</v>
      </c>
      <c r="E922" s="327"/>
      <c r="F922" s="654">
        <v>0</v>
      </c>
      <c r="G922" s="655"/>
      <c r="H922" s="332">
        <f t="shared" si="90"/>
        <v>0</v>
      </c>
      <c r="J922" s="678"/>
      <c r="K922" s="679"/>
      <c r="L922" s="347"/>
      <c r="M922" s="2"/>
      <c r="N922" s="2"/>
      <c r="O922" s="2"/>
      <c r="P922" s="2"/>
      <c r="Q922" s="2"/>
      <c r="R922" s="2"/>
      <c r="S922" s="2"/>
      <c r="T922" s="2"/>
      <c r="U922" s="2"/>
      <c r="V922" s="2"/>
      <c r="W922" s="2"/>
      <c r="X922" s="2"/>
      <c r="Y922" s="2"/>
      <c r="Z922" s="2"/>
      <c r="AA922" s="2"/>
      <c r="AB922" s="2"/>
      <c r="AC922" s="2"/>
      <c r="AD922" s="2"/>
      <c r="AE922" s="2"/>
      <c r="AF922" s="2"/>
      <c r="AG922" s="2"/>
      <c r="AH922" s="2"/>
      <c r="AI922" s="2"/>
      <c r="AJ922" s="2"/>
      <c r="AK922" s="2"/>
    </row>
    <row r="923" spans="2:37">
      <c r="B923" s="45" t="s">
        <v>78</v>
      </c>
      <c r="C923" s="340">
        <v>54</v>
      </c>
      <c r="D923" s="341">
        <v>0</v>
      </c>
      <c r="E923" s="327"/>
      <c r="F923" s="652">
        <v>0</v>
      </c>
      <c r="G923" s="653"/>
      <c r="H923" s="330">
        <f t="shared" si="90"/>
        <v>0</v>
      </c>
      <c r="J923" s="680"/>
      <c r="K923" s="681"/>
      <c r="L923" s="348"/>
      <c r="M923" s="2"/>
      <c r="N923" s="2"/>
      <c r="O923" s="2"/>
      <c r="P923" s="2"/>
      <c r="Q923" s="2"/>
      <c r="R923" s="2"/>
      <c r="S923" s="2"/>
      <c r="T923" s="2"/>
      <c r="U923" s="2"/>
      <c r="V923" s="2"/>
      <c r="W923" s="2"/>
      <c r="X923" s="2"/>
      <c r="Y923" s="2"/>
      <c r="Z923" s="2"/>
      <c r="AA923" s="2"/>
      <c r="AB923" s="2"/>
      <c r="AC923" s="2"/>
      <c r="AD923" s="2"/>
      <c r="AE923" s="2"/>
      <c r="AF923" s="2"/>
      <c r="AG923" s="2"/>
      <c r="AH923" s="2"/>
      <c r="AI923" s="2"/>
      <c r="AJ923" s="2"/>
      <c r="AK923" s="2"/>
    </row>
    <row r="924" spans="2:37">
      <c r="B924" s="342" t="s">
        <v>57</v>
      </c>
      <c r="C924" s="343"/>
      <c r="D924" s="344">
        <v>0</v>
      </c>
      <c r="E924" s="327"/>
      <c r="F924" s="654">
        <v>0</v>
      </c>
      <c r="G924" s="655"/>
      <c r="H924" s="332">
        <f t="shared" si="90"/>
        <v>0</v>
      </c>
      <c r="J924" s="682"/>
      <c r="K924" s="683"/>
      <c r="L924" s="349"/>
      <c r="M924" s="2"/>
      <c r="N924" s="2"/>
      <c r="O924" s="2"/>
      <c r="P924" s="2"/>
      <c r="Q924" s="2"/>
      <c r="R924" s="2"/>
      <c r="S924" s="2"/>
      <c r="T924" s="2"/>
      <c r="U924" s="2"/>
      <c r="V924" s="2"/>
      <c r="W924" s="2"/>
      <c r="X924" s="2"/>
      <c r="Y924" s="2"/>
      <c r="Z924" s="2"/>
      <c r="AA924" s="2"/>
      <c r="AB924" s="2"/>
      <c r="AC924" s="2"/>
      <c r="AD924" s="2"/>
      <c r="AE924" s="2"/>
      <c r="AF924" s="2"/>
      <c r="AG924" s="2"/>
      <c r="AH924" s="2"/>
      <c r="AI924" s="2"/>
      <c r="AJ924" s="2"/>
      <c r="AK924" s="2"/>
    </row>
    <row r="925" spans="2:37">
      <c r="B925" s="350" t="str">
        <f>B1118</f>
        <v>Bond and Interest #1</v>
      </c>
      <c r="C925" s="340">
        <v>62</v>
      </c>
      <c r="D925" s="341">
        <v>0</v>
      </c>
      <c r="E925" s="327"/>
      <c r="F925" s="652">
        <v>0</v>
      </c>
      <c r="G925" s="653"/>
      <c r="H925" s="330">
        <f t="shared" si="90"/>
        <v>0</v>
      </c>
      <c r="J925" s="652">
        <v>0</v>
      </c>
      <c r="K925" s="653"/>
      <c r="L925" s="330">
        <f t="shared" ref="L925:L936" si="92">IF(F925=0,0,((J925-F925)/F925))</f>
        <v>0</v>
      </c>
      <c r="M925" s="2"/>
      <c r="N925" s="2"/>
      <c r="O925" s="2"/>
      <c r="P925" s="2"/>
      <c r="Q925" s="2"/>
      <c r="R925" s="2"/>
      <c r="S925" s="2"/>
      <c r="T925" s="2"/>
      <c r="U925" s="2"/>
      <c r="V925" s="2"/>
      <c r="W925" s="2"/>
      <c r="X925" s="2"/>
      <c r="Y925" s="2"/>
      <c r="Z925" s="2"/>
      <c r="AA925" s="2"/>
      <c r="AB925" s="2"/>
      <c r="AC925" s="2"/>
      <c r="AD925" s="2"/>
      <c r="AE925" s="2"/>
      <c r="AF925" s="2"/>
      <c r="AG925" s="2"/>
      <c r="AH925" s="2"/>
      <c r="AI925" s="2"/>
      <c r="AJ925" s="2"/>
      <c r="AK925" s="2"/>
    </row>
    <row r="926" spans="2:37">
      <c r="B926" s="351" t="str">
        <f>B1119</f>
        <v>Bond and Interest #2</v>
      </c>
      <c r="C926" s="343">
        <v>63</v>
      </c>
      <c r="D926" s="344">
        <v>0</v>
      </c>
      <c r="E926" s="327"/>
      <c r="F926" s="654">
        <v>0</v>
      </c>
      <c r="G926" s="655"/>
      <c r="H926" s="332">
        <f t="shared" si="90"/>
        <v>0</v>
      </c>
      <c r="J926" s="654">
        <v>0</v>
      </c>
      <c r="K926" s="655"/>
      <c r="L926" s="332">
        <f t="shared" si="92"/>
        <v>0</v>
      </c>
      <c r="M926" s="2"/>
      <c r="N926" s="2"/>
      <c r="O926" s="2"/>
      <c r="P926" s="2"/>
      <c r="Q926" s="2"/>
      <c r="R926" s="2"/>
      <c r="S926" s="2"/>
      <c r="T926" s="2"/>
      <c r="U926" s="2"/>
      <c r="V926" s="2"/>
      <c r="W926" s="2"/>
      <c r="X926" s="2"/>
      <c r="Y926" s="2"/>
      <c r="Z926" s="2"/>
      <c r="AA926" s="2"/>
      <c r="AB926" s="2"/>
      <c r="AC926" s="2"/>
      <c r="AD926" s="2"/>
      <c r="AE926" s="2"/>
      <c r="AF926" s="2"/>
      <c r="AG926" s="2"/>
      <c r="AH926" s="2"/>
      <c r="AI926" s="2"/>
      <c r="AJ926" s="2"/>
      <c r="AK926" s="2"/>
    </row>
    <row r="927" spans="2:37">
      <c r="B927" s="45" t="s">
        <v>58</v>
      </c>
      <c r="C927" s="340">
        <v>66</v>
      </c>
      <c r="D927" s="341">
        <v>0</v>
      </c>
      <c r="E927" s="327"/>
      <c r="F927" s="652">
        <v>0</v>
      </c>
      <c r="G927" s="653"/>
      <c r="H927" s="330">
        <f t="shared" si="90"/>
        <v>0</v>
      </c>
      <c r="J927" s="652">
        <v>0</v>
      </c>
      <c r="K927" s="653"/>
      <c r="L927" s="330">
        <f t="shared" si="92"/>
        <v>0</v>
      </c>
      <c r="M927" s="2"/>
      <c r="N927" s="2"/>
      <c r="O927" s="2"/>
      <c r="P927" s="2"/>
      <c r="Q927" s="2"/>
      <c r="R927" s="2"/>
      <c r="S927" s="2"/>
      <c r="T927" s="2"/>
      <c r="U927" s="2"/>
      <c r="V927" s="2"/>
      <c r="W927" s="2"/>
      <c r="X927" s="2"/>
      <c r="Y927" s="2"/>
      <c r="Z927" s="2"/>
      <c r="AA927" s="2"/>
      <c r="AB927" s="2"/>
      <c r="AC927" s="2"/>
      <c r="AD927" s="2"/>
      <c r="AE927" s="2"/>
      <c r="AF927" s="2"/>
      <c r="AG927" s="2"/>
      <c r="AH927" s="2"/>
      <c r="AI927" s="2"/>
      <c r="AJ927" s="2"/>
      <c r="AK927" s="2"/>
    </row>
    <row r="928" spans="2:37">
      <c r="B928" s="342" t="s">
        <v>59</v>
      </c>
      <c r="C928" s="343">
        <v>67</v>
      </c>
      <c r="D928" s="344">
        <v>0</v>
      </c>
      <c r="E928" s="327"/>
      <c r="F928" s="654">
        <v>0</v>
      </c>
      <c r="G928" s="655"/>
      <c r="H928" s="332">
        <f t="shared" si="90"/>
        <v>0</v>
      </c>
      <c r="J928" s="654">
        <v>0</v>
      </c>
      <c r="K928" s="655"/>
      <c r="L928" s="332">
        <f t="shared" si="92"/>
        <v>0</v>
      </c>
      <c r="M928" s="2"/>
      <c r="N928" s="2"/>
      <c r="O928" s="2"/>
      <c r="P928" s="2"/>
      <c r="Q928" s="2"/>
      <c r="R928" s="2"/>
      <c r="S928" s="2"/>
      <c r="T928" s="2"/>
      <c r="U928" s="2"/>
      <c r="V928" s="2"/>
      <c r="W928" s="2"/>
      <c r="X928" s="2"/>
      <c r="Y928" s="2"/>
      <c r="Z928" s="2"/>
      <c r="AA928" s="2"/>
      <c r="AB928" s="2"/>
      <c r="AC928" s="2"/>
      <c r="AD928" s="2"/>
      <c r="AE928" s="2"/>
      <c r="AF928" s="2"/>
      <c r="AG928" s="2"/>
      <c r="AH928" s="2"/>
      <c r="AI928" s="2"/>
      <c r="AJ928" s="2"/>
      <c r="AK928" s="2"/>
    </row>
    <row r="929" spans="2:37" ht="15" thickBot="1">
      <c r="B929" s="45" t="s">
        <v>60</v>
      </c>
      <c r="C929" s="340">
        <v>68</v>
      </c>
      <c r="D929" s="341">
        <v>0</v>
      </c>
      <c r="E929" s="327"/>
      <c r="F929" s="669">
        <v>0</v>
      </c>
      <c r="G929" s="670"/>
      <c r="H929" s="247">
        <f t="shared" si="90"/>
        <v>0</v>
      </c>
      <c r="J929" s="669">
        <v>0</v>
      </c>
      <c r="K929" s="670"/>
      <c r="L929" s="247">
        <f t="shared" si="92"/>
        <v>0</v>
      </c>
      <c r="M929" s="2"/>
      <c r="N929" s="2"/>
      <c r="O929" s="2"/>
      <c r="P929" s="2"/>
      <c r="Q929" s="2"/>
      <c r="R929" s="2"/>
      <c r="S929" s="2"/>
      <c r="T929" s="2"/>
      <c r="U929" s="2"/>
      <c r="V929" s="2"/>
      <c r="W929" s="2"/>
      <c r="X929" s="2"/>
      <c r="Y929" s="2"/>
      <c r="Z929" s="2"/>
      <c r="AA929" s="2"/>
      <c r="AB929" s="2"/>
      <c r="AC929" s="2"/>
      <c r="AD929" s="2"/>
      <c r="AE929" s="2"/>
      <c r="AF929" s="2"/>
      <c r="AG929" s="2"/>
      <c r="AH929" s="2"/>
      <c r="AI929" s="2"/>
      <c r="AJ929" s="2"/>
      <c r="AK929" s="2"/>
    </row>
    <row r="930" spans="2:37" ht="15" thickTop="1">
      <c r="B930" s="353" t="s">
        <v>61</v>
      </c>
      <c r="C930" s="353"/>
      <c r="D930" s="371">
        <f>SUM(D898:D929)</f>
        <v>122157</v>
      </c>
      <c r="E930" s="327"/>
      <c r="F930" s="667">
        <f>SUM(F898:G929)</f>
        <v>133439</v>
      </c>
      <c r="G930" s="668"/>
      <c r="H930" s="372">
        <f t="shared" si="90"/>
        <v>0.09</v>
      </c>
      <c r="J930" s="667">
        <f>SUM(J898:K929)</f>
        <v>129500</v>
      </c>
      <c r="K930" s="668"/>
      <c r="L930" s="372">
        <f t="shared" si="92"/>
        <v>-0.03</v>
      </c>
      <c r="M930" s="2"/>
      <c r="N930" s="2"/>
      <c r="O930" s="2"/>
      <c r="P930" s="2"/>
      <c r="Q930" s="2"/>
      <c r="R930" s="2"/>
      <c r="S930" s="2"/>
      <c r="T930" s="2"/>
      <c r="U930" s="2"/>
      <c r="V930" s="2"/>
      <c r="W930" s="2"/>
      <c r="X930" s="2"/>
      <c r="Y930" s="2"/>
      <c r="Z930" s="2"/>
      <c r="AA930" s="2"/>
      <c r="AB930" s="2"/>
      <c r="AC930" s="2"/>
      <c r="AD930" s="2"/>
      <c r="AE930" s="2"/>
      <c r="AF930" s="2"/>
      <c r="AG930" s="2"/>
      <c r="AH930" s="2"/>
      <c r="AI930" s="2"/>
      <c r="AJ930" s="2"/>
      <c r="AK930" s="2"/>
    </row>
    <row r="931" spans="2:37" ht="15.75">
      <c r="B931" s="45" t="s">
        <v>181</v>
      </c>
      <c r="C931" s="45"/>
      <c r="D931" s="356">
        <f>G1312</f>
        <v>70.7</v>
      </c>
      <c r="E931" s="327"/>
      <c r="F931" s="665">
        <f>I1312</f>
        <v>82.5</v>
      </c>
      <c r="G931" s="666"/>
      <c r="H931" s="247">
        <f t="shared" si="90"/>
        <v>0.17</v>
      </c>
      <c r="J931" s="665">
        <f>K1312</f>
        <v>70</v>
      </c>
      <c r="K931" s="666"/>
      <c r="L931" s="247">
        <f t="shared" si="92"/>
        <v>-0.15</v>
      </c>
      <c r="M931" s="2"/>
      <c r="N931" s="2"/>
      <c r="O931" s="2"/>
      <c r="P931" s="2"/>
      <c r="Q931" s="2"/>
      <c r="R931" s="2"/>
      <c r="S931" s="2"/>
      <c r="T931" s="2"/>
      <c r="U931" s="2"/>
      <c r="V931" s="2"/>
      <c r="W931" s="2"/>
      <c r="X931" s="2"/>
      <c r="Y931" s="2"/>
      <c r="Z931" s="2"/>
      <c r="AA931" s="2"/>
      <c r="AB931" s="2"/>
      <c r="AC931" s="2"/>
      <c r="AD931" s="2"/>
      <c r="AE931" s="2"/>
      <c r="AF931" s="2"/>
      <c r="AG931" s="2"/>
      <c r="AH931" s="2"/>
      <c r="AI931" s="2"/>
      <c r="AJ931" s="2"/>
      <c r="AK931" s="2"/>
    </row>
    <row r="932" spans="2:37" ht="16.5" thickBot="1">
      <c r="B932" s="342" t="s">
        <v>182</v>
      </c>
      <c r="C932" s="342"/>
      <c r="D932" s="346">
        <f>IF(D930=0,0,D930/D931)</f>
        <v>1728</v>
      </c>
      <c r="E932" s="327"/>
      <c r="F932" s="663">
        <f>IF(F930=0,0,F930/F931)</f>
        <v>1617</v>
      </c>
      <c r="G932" s="664"/>
      <c r="H932" s="357">
        <f t="shared" si="90"/>
        <v>-0.06</v>
      </c>
      <c r="J932" s="663">
        <f>IF(J930=0,0,J930/J931)</f>
        <v>1850</v>
      </c>
      <c r="K932" s="664"/>
      <c r="L932" s="357">
        <f t="shared" si="92"/>
        <v>0.14000000000000001</v>
      </c>
      <c r="M932" s="2"/>
      <c r="N932" s="2"/>
      <c r="S932" s="2"/>
      <c r="T932" s="2"/>
      <c r="U932" s="2"/>
      <c r="V932" s="2"/>
      <c r="W932" s="2"/>
      <c r="X932" s="2"/>
      <c r="Y932" s="2"/>
      <c r="Z932" s="2"/>
      <c r="AA932" s="2"/>
      <c r="AB932" s="2"/>
      <c r="AC932" s="2"/>
      <c r="AD932" s="2"/>
      <c r="AE932" s="2"/>
      <c r="AF932" s="2"/>
      <c r="AG932" s="2"/>
      <c r="AH932" s="2"/>
      <c r="AI932" s="2"/>
      <c r="AJ932" s="2"/>
      <c r="AK932" s="2"/>
    </row>
    <row r="933" spans="2:37">
      <c r="B933" s="358" t="s">
        <v>63</v>
      </c>
      <c r="C933" s="358"/>
      <c r="D933" s="389">
        <v>0</v>
      </c>
      <c r="E933" s="327"/>
      <c r="F933" s="661">
        <v>0</v>
      </c>
      <c r="G933" s="662"/>
      <c r="H933" s="360">
        <f t="shared" si="90"/>
        <v>0</v>
      </c>
      <c r="J933" s="661">
        <v>0</v>
      </c>
      <c r="K933" s="662"/>
      <c r="L933" s="360">
        <f t="shared" si="92"/>
        <v>0</v>
      </c>
      <c r="M933" s="2"/>
      <c r="N933" s="2"/>
      <c r="S933" s="2"/>
      <c r="T933" s="2"/>
      <c r="U933" s="2"/>
      <c r="V933" s="2"/>
      <c r="W933" s="2"/>
      <c r="X933" s="2"/>
      <c r="Y933" s="2"/>
      <c r="Z933" s="2"/>
      <c r="AA933" s="2"/>
      <c r="AB933" s="2"/>
      <c r="AC933" s="2"/>
      <c r="AD933" s="2"/>
      <c r="AE933" s="2"/>
      <c r="AF933" s="2"/>
      <c r="AG933" s="2"/>
      <c r="AH933" s="2"/>
      <c r="AI933" s="2"/>
      <c r="AJ933" s="2"/>
      <c r="AK933" s="2"/>
    </row>
    <row r="934" spans="2:37">
      <c r="B934" s="342" t="s">
        <v>64</v>
      </c>
      <c r="C934" s="342"/>
      <c r="D934" s="339">
        <v>0</v>
      </c>
      <c r="E934" s="327"/>
      <c r="F934" s="654">
        <v>0</v>
      </c>
      <c r="G934" s="655"/>
      <c r="H934" s="332">
        <f t="shared" si="90"/>
        <v>0</v>
      </c>
      <c r="J934" s="654">
        <v>0</v>
      </c>
      <c r="K934" s="655"/>
      <c r="L934" s="332">
        <f t="shared" si="92"/>
        <v>0</v>
      </c>
      <c r="M934" s="2"/>
      <c r="N934" s="2"/>
      <c r="O934" s="2"/>
      <c r="P934" s="2"/>
      <c r="Q934" s="2"/>
      <c r="R934" s="2"/>
      <c r="S934" s="2"/>
      <c r="T934" s="2"/>
      <c r="U934" s="2"/>
      <c r="V934" s="2"/>
      <c r="W934" s="2"/>
      <c r="X934" s="2"/>
      <c r="Y934" s="2"/>
      <c r="Z934" s="2"/>
      <c r="AA934" s="2"/>
      <c r="AB934" s="2"/>
      <c r="AC934" s="2"/>
      <c r="AD934" s="2"/>
      <c r="AE934" s="2"/>
      <c r="AF934" s="2"/>
      <c r="AG934" s="2"/>
      <c r="AH934" s="2"/>
      <c r="AI934" s="2"/>
      <c r="AJ934" s="2"/>
      <c r="AK934" s="2"/>
    </row>
    <row r="935" spans="2:37" ht="15" thickBot="1">
      <c r="B935" s="361" t="s">
        <v>65</v>
      </c>
      <c r="C935" s="361"/>
      <c r="D935" s="391">
        <v>0</v>
      </c>
      <c r="E935" s="327"/>
      <c r="F935" s="659">
        <v>0</v>
      </c>
      <c r="G935" s="660"/>
      <c r="H935" s="363">
        <f t="shared" si="90"/>
        <v>0</v>
      </c>
      <c r="J935" s="659">
        <v>0</v>
      </c>
      <c r="K935" s="660"/>
      <c r="L935" s="363">
        <f t="shared" si="92"/>
        <v>0</v>
      </c>
      <c r="M935" s="2"/>
      <c r="N935" s="2"/>
      <c r="O935" s="2"/>
      <c r="P935" s="2"/>
      <c r="Q935" s="2"/>
      <c r="R935" s="2"/>
      <c r="S935" s="2"/>
      <c r="T935" s="2"/>
      <c r="U935" s="2"/>
      <c r="V935" s="2"/>
      <c r="W935" s="2"/>
      <c r="X935" s="2"/>
      <c r="Y935" s="2"/>
      <c r="Z935" s="2"/>
      <c r="AA935" s="2"/>
      <c r="AB935" s="2"/>
      <c r="AC935" s="2"/>
      <c r="AD935" s="2"/>
      <c r="AE935" s="2"/>
      <c r="AF935" s="2"/>
      <c r="AG935" s="2"/>
      <c r="AH935" s="2"/>
      <c r="AI935" s="2"/>
      <c r="AJ935" s="2"/>
      <c r="AK935" s="2"/>
    </row>
    <row r="936" spans="2:37" ht="15" thickTop="1">
      <c r="B936" s="365" t="s">
        <v>66</v>
      </c>
      <c r="C936" s="365"/>
      <c r="D936" s="373">
        <f>SUM(D933:D935,D930)</f>
        <v>122157</v>
      </c>
      <c r="E936" s="327"/>
      <c r="F936" s="657">
        <f>SUM(F933:G935,F930)</f>
        <v>133439</v>
      </c>
      <c r="G936" s="658"/>
      <c r="H936" s="374">
        <f t="shared" si="90"/>
        <v>0.09</v>
      </c>
      <c r="J936" s="657">
        <f>SUM(J933:K935,J930)</f>
        <v>129500</v>
      </c>
      <c r="K936" s="658"/>
      <c r="L936" s="374">
        <f t="shared" si="92"/>
        <v>-0.03</v>
      </c>
      <c r="M936" s="2"/>
      <c r="N936" s="2"/>
      <c r="O936" s="2"/>
      <c r="P936" s="2"/>
      <c r="Q936" s="2"/>
      <c r="R936" s="2"/>
      <c r="S936" s="2"/>
      <c r="T936" s="2"/>
      <c r="U936" s="2"/>
      <c r="V936" s="2"/>
      <c r="W936" s="2"/>
      <c r="X936" s="2"/>
      <c r="Y936" s="2"/>
      <c r="Z936" s="2"/>
      <c r="AA936" s="2"/>
      <c r="AB936" s="2"/>
      <c r="AC936" s="2"/>
      <c r="AD936" s="2"/>
      <c r="AE936" s="2"/>
      <c r="AF936" s="2"/>
      <c r="AG936" s="2"/>
      <c r="AH936" s="2"/>
      <c r="AI936" s="2"/>
      <c r="AJ936" s="2"/>
      <c r="AK936" s="2"/>
    </row>
    <row r="937" spans="2:37" ht="6.75" customHeight="1">
      <c r="B937" s="2"/>
      <c r="C937" s="2"/>
      <c r="D937" s="159"/>
      <c r="E937" s="2"/>
      <c r="F937" s="159"/>
      <c r="G937" s="201"/>
      <c r="H937" s="2"/>
      <c r="I937" s="159"/>
      <c r="J937" s="201"/>
      <c r="K937" s="2"/>
      <c r="L937" s="2"/>
      <c r="M937" s="2"/>
      <c r="N937" s="2"/>
      <c r="O937" s="2"/>
      <c r="P937" s="2"/>
      <c r="Q937" s="2"/>
      <c r="R937" s="2"/>
      <c r="S937" s="2"/>
      <c r="T937" s="2"/>
      <c r="U937" s="2"/>
      <c r="V937" s="2"/>
      <c r="W937" s="2"/>
      <c r="X937" s="2"/>
      <c r="Y937" s="2"/>
      <c r="Z937" s="2"/>
      <c r="AA937" s="2"/>
      <c r="AB937" s="2"/>
      <c r="AC937" s="2"/>
      <c r="AD937" s="2"/>
      <c r="AE937" s="2"/>
      <c r="AF937" s="2"/>
      <c r="AG937" s="2"/>
      <c r="AH937" s="2"/>
      <c r="AI937" s="2"/>
      <c r="AJ937" s="2"/>
      <c r="AK937" s="2"/>
    </row>
    <row r="938" spans="2:37">
      <c r="B938" s="650"/>
      <c r="C938" s="650"/>
      <c r="D938" s="650"/>
      <c r="E938" s="650"/>
      <c r="F938" s="650"/>
      <c r="G938" s="650"/>
      <c r="H938" s="650"/>
      <c r="I938" s="650"/>
      <c r="J938" s="650"/>
      <c r="K938" s="650"/>
      <c r="L938" s="650"/>
      <c r="M938" s="2"/>
      <c r="N938" s="2"/>
      <c r="S938" s="2"/>
      <c r="T938" s="2"/>
      <c r="U938" s="2"/>
      <c r="V938" s="2"/>
      <c r="W938" s="2"/>
      <c r="X938" s="2"/>
      <c r="Y938" s="2"/>
      <c r="Z938" s="2"/>
      <c r="AA938" s="2"/>
      <c r="AB938" s="2"/>
      <c r="AC938" s="2"/>
      <c r="AD938" s="2"/>
      <c r="AE938" s="2"/>
      <c r="AF938" s="2"/>
      <c r="AG938" s="2"/>
      <c r="AH938" s="2"/>
      <c r="AI938" s="2"/>
      <c r="AJ938" s="2"/>
      <c r="AK938" s="2"/>
    </row>
    <row r="939" spans="2:37">
      <c r="B939" s="650"/>
      <c r="C939" s="650"/>
      <c r="D939" s="650"/>
      <c r="E939" s="650"/>
      <c r="F939" s="650"/>
      <c r="G939" s="650"/>
      <c r="H939" s="650"/>
      <c r="I939" s="650"/>
      <c r="J939" s="650"/>
      <c r="K939" s="650"/>
      <c r="L939" s="650"/>
      <c r="M939" s="2"/>
      <c r="N939" s="2"/>
      <c r="S939" s="2"/>
      <c r="T939" s="2"/>
      <c r="U939" s="2"/>
      <c r="V939" s="2"/>
      <c r="W939" s="2"/>
      <c r="X939" s="2"/>
      <c r="Y939" s="2"/>
      <c r="Z939" s="2"/>
      <c r="AA939" s="2"/>
      <c r="AB939" s="2"/>
      <c r="AC939" s="2"/>
      <c r="AD939" s="2"/>
      <c r="AE939" s="2"/>
      <c r="AF939" s="2"/>
      <c r="AG939" s="2"/>
      <c r="AH939" s="2"/>
      <c r="AI939" s="2"/>
      <c r="AJ939" s="2"/>
      <c r="AK939" s="2"/>
    </row>
    <row r="940" spans="2:37">
      <c r="B940" s="650"/>
      <c r="C940" s="650"/>
      <c r="D940" s="650"/>
      <c r="E940" s="650"/>
      <c r="F940" s="650"/>
      <c r="G940" s="650"/>
      <c r="H940" s="650"/>
      <c r="I940" s="650"/>
      <c r="J940" s="650"/>
      <c r="K940" s="650"/>
      <c r="L940" s="650"/>
      <c r="M940" s="2"/>
      <c r="N940" s="2"/>
      <c r="O940" s="2"/>
      <c r="P940" s="2"/>
      <c r="Q940" s="2"/>
      <c r="R940" s="2"/>
      <c r="S940" s="2"/>
      <c r="T940" s="2"/>
      <c r="U940" s="2"/>
      <c r="V940" s="2"/>
      <c r="W940" s="2"/>
      <c r="X940" s="2"/>
      <c r="Y940" s="2"/>
      <c r="Z940" s="2"/>
      <c r="AA940" s="2"/>
      <c r="AB940" s="2"/>
      <c r="AC940" s="2"/>
      <c r="AD940" s="2"/>
      <c r="AE940" s="2"/>
      <c r="AF940" s="2"/>
      <c r="AG940" s="2"/>
      <c r="AH940" s="2"/>
      <c r="AI940" s="2"/>
      <c r="AJ940" s="2"/>
      <c r="AK940" s="2"/>
    </row>
    <row r="941" spans="2:37">
      <c r="B941" s="208"/>
      <c r="C941" s="2"/>
      <c r="D941" s="159"/>
      <c r="E941" s="2"/>
      <c r="F941" s="159"/>
      <c r="G941" s="201"/>
      <c r="H941" s="2"/>
      <c r="I941" s="159"/>
      <c r="J941" s="201"/>
      <c r="K941" s="2"/>
      <c r="L941" s="2"/>
      <c r="M941" s="2"/>
      <c r="N941" s="2"/>
      <c r="O941" s="2"/>
      <c r="P941" s="2"/>
      <c r="Q941" s="2"/>
      <c r="R941" s="2"/>
      <c r="S941" s="2"/>
      <c r="T941" s="2"/>
      <c r="U941" s="2"/>
      <c r="V941" s="2"/>
      <c r="W941" s="2"/>
      <c r="X941" s="2"/>
      <c r="Y941" s="2"/>
      <c r="Z941" s="2"/>
      <c r="AA941" s="2"/>
      <c r="AB941" s="2"/>
      <c r="AC941" s="2"/>
      <c r="AD941" s="2"/>
      <c r="AE941" s="2"/>
      <c r="AF941" s="2"/>
      <c r="AG941" s="2"/>
      <c r="AH941" s="2"/>
      <c r="AI941" s="2"/>
      <c r="AJ941" s="2"/>
      <c r="AK941" s="2"/>
    </row>
    <row r="942" spans="2:37">
      <c r="B942" s="2"/>
      <c r="C942" s="2"/>
      <c r="D942" s="159"/>
      <c r="E942" s="2"/>
      <c r="F942" s="159"/>
      <c r="G942" s="201"/>
      <c r="H942" s="2"/>
      <c r="I942" s="159"/>
      <c r="J942" s="201"/>
      <c r="K942" s="2"/>
      <c r="L942" s="2"/>
      <c r="M942" s="2"/>
      <c r="N942" s="2"/>
      <c r="O942" s="2"/>
      <c r="P942" s="2"/>
      <c r="Q942" s="2"/>
      <c r="R942" s="2"/>
      <c r="S942" s="2"/>
      <c r="T942" s="2"/>
      <c r="U942" s="2"/>
      <c r="V942" s="2"/>
      <c r="W942" s="2"/>
      <c r="X942" s="2"/>
      <c r="Y942" s="2"/>
      <c r="Z942" s="2"/>
      <c r="AA942" s="2"/>
      <c r="AB942" s="2"/>
      <c r="AC942" s="2"/>
      <c r="AD942" s="2"/>
      <c r="AE942" s="2"/>
      <c r="AF942" s="2"/>
      <c r="AG942" s="2"/>
      <c r="AH942" s="2"/>
      <c r="AI942" s="2"/>
      <c r="AJ942" s="2"/>
      <c r="AK942" s="2"/>
    </row>
    <row r="943" spans="2:37">
      <c r="B943" s="2"/>
      <c r="C943" s="2"/>
      <c r="D943" s="159"/>
      <c r="E943" s="2"/>
      <c r="F943" s="159"/>
      <c r="G943" s="201"/>
      <c r="H943" s="2"/>
      <c r="I943" s="159"/>
      <c r="J943" s="201"/>
      <c r="K943" s="2"/>
      <c r="L943" s="2"/>
      <c r="M943" s="2"/>
      <c r="N943" s="2"/>
      <c r="O943" s="2"/>
      <c r="P943" s="2"/>
      <c r="Q943" s="2"/>
      <c r="R943" s="2"/>
      <c r="S943" s="2"/>
      <c r="T943" s="2"/>
      <c r="U943" s="2"/>
      <c r="V943" s="2"/>
      <c r="W943" s="2"/>
      <c r="X943" s="2"/>
      <c r="Y943" s="2"/>
      <c r="Z943" s="2"/>
      <c r="AA943" s="2"/>
      <c r="AB943" s="2"/>
      <c r="AC943" s="2"/>
      <c r="AD943" s="2"/>
      <c r="AE943" s="2"/>
      <c r="AF943" s="2"/>
      <c r="AG943" s="2"/>
      <c r="AH943" s="2"/>
      <c r="AI943" s="2"/>
      <c r="AJ943" s="2"/>
      <c r="AK943" s="2"/>
    </row>
    <row r="944" spans="2:37">
      <c r="B944" s="2"/>
      <c r="C944" s="2"/>
      <c r="D944" s="159"/>
      <c r="E944" s="2"/>
      <c r="F944" s="159"/>
      <c r="G944" s="201"/>
      <c r="H944" s="2"/>
      <c r="I944" s="159"/>
      <c r="J944" s="201"/>
      <c r="K944" s="2"/>
      <c r="L944" s="2"/>
      <c r="M944" s="2"/>
      <c r="N944" s="2"/>
      <c r="O944" s="2"/>
      <c r="P944" s="2"/>
      <c r="Q944" s="2"/>
      <c r="R944" s="2"/>
      <c r="S944" s="2"/>
      <c r="T944" s="2"/>
      <c r="U944" s="2"/>
      <c r="V944" s="2"/>
      <c r="W944" s="2"/>
      <c r="X944" s="2"/>
      <c r="Y944" s="2"/>
      <c r="Z944" s="2"/>
      <c r="AA944" s="2"/>
      <c r="AB944" s="2"/>
      <c r="AC944" s="2"/>
      <c r="AD944" s="2"/>
      <c r="AE944" s="2"/>
      <c r="AF944" s="2"/>
      <c r="AG944" s="2"/>
      <c r="AH944" s="2"/>
      <c r="AI944" s="2"/>
      <c r="AJ944" s="2"/>
      <c r="AK944" s="2"/>
    </row>
    <row r="945" spans="2:37">
      <c r="B945" s="2"/>
      <c r="C945" s="2"/>
      <c r="D945" s="159"/>
      <c r="E945" s="2"/>
      <c r="F945" s="159"/>
      <c r="G945" s="201"/>
      <c r="H945" s="2"/>
      <c r="I945" s="159"/>
      <c r="J945" s="201"/>
      <c r="K945" s="2"/>
      <c r="L945" s="2"/>
      <c r="M945" s="2"/>
      <c r="N945" s="2"/>
      <c r="O945" s="2"/>
      <c r="P945" s="2"/>
      <c r="Q945" s="2"/>
      <c r="R945" s="2"/>
      <c r="S945" s="2"/>
      <c r="T945" s="2"/>
      <c r="U945" s="2"/>
      <c r="V945" s="2"/>
      <c r="W945" s="2"/>
      <c r="X945" s="2"/>
      <c r="Y945" s="2"/>
      <c r="Z945" s="2"/>
      <c r="AA945" s="2"/>
      <c r="AB945" s="2"/>
      <c r="AC945" s="2"/>
      <c r="AD945" s="2"/>
      <c r="AE945" s="2"/>
      <c r="AF945" s="2"/>
      <c r="AG945" s="2"/>
      <c r="AH945" s="2"/>
      <c r="AI945" s="2"/>
      <c r="AJ945" s="2"/>
      <c r="AK945" s="2"/>
    </row>
    <row r="946" spans="2:37">
      <c r="B946" s="2"/>
      <c r="C946" s="2"/>
      <c r="D946" s="159"/>
      <c r="E946" s="2"/>
      <c r="F946" s="159"/>
      <c r="G946" s="201"/>
      <c r="H946" s="2"/>
      <c r="I946" s="159"/>
      <c r="J946" s="201"/>
      <c r="K946" s="2"/>
      <c r="L946" s="2"/>
      <c r="M946" s="2"/>
      <c r="N946" s="2"/>
      <c r="O946" s="2"/>
      <c r="P946" s="2"/>
      <c r="Q946" s="2"/>
      <c r="R946" s="2"/>
      <c r="S946" s="2"/>
      <c r="T946" s="2"/>
      <c r="U946" s="2"/>
      <c r="V946" s="2"/>
      <c r="W946" s="2"/>
      <c r="X946" s="2"/>
      <c r="Y946" s="2"/>
      <c r="Z946" s="2"/>
      <c r="AA946" s="2"/>
      <c r="AB946" s="2"/>
      <c r="AC946" s="2"/>
      <c r="AD946" s="2"/>
      <c r="AE946" s="2"/>
      <c r="AF946" s="2"/>
      <c r="AG946" s="2"/>
      <c r="AH946" s="2"/>
      <c r="AI946" s="2"/>
      <c r="AJ946" s="2"/>
      <c r="AK946" s="2"/>
    </row>
    <row r="947" spans="2:37">
      <c r="B947" s="2"/>
      <c r="C947" s="2"/>
      <c r="D947" s="159"/>
      <c r="E947" s="2"/>
      <c r="F947" s="159"/>
      <c r="G947" s="201"/>
      <c r="H947" s="2"/>
      <c r="I947" s="159"/>
      <c r="J947" s="201"/>
      <c r="K947" s="2"/>
      <c r="L947" s="2"/>
      <c r="M947" s="2"/>
      <c r="N947" s="2"/>
      <c r="O947" s="2"/>
      <c r="P947" s="2"/>
      <c r="Q947" s="2"/>
      <c r="R947" s="2"/>
      <c r="S947" s="2"/>
      <c r="T947" s="2"/>
      <c r="U947" s="2"/>
      <c r="V947" s="2"/>
      <c r="W947" s="2"/>
      <c r="X947" s="2"/>
      <c r="Y947" s="2"/>
      <c r="Z947" s="2"/>
      <c r="AA947" s="2"/>
      <c r="AB947" s="2"/>
      <c r="AC947" s="2"/>
      <c r="AD947" s="2"/>
      <c r="AE947" s="2"/>
      <c r="AF947" s="2"/>
      <c r="AG947" s="2"/>
      <c r="AH947" s="2"/>
      <c r="AI947" s="2"/>
      <c r="AJ947" s="2"/>
      <c r="AK947" s="2"/>
    </row>
    <row r="948" spans="2:37">
      <c r="C948" s="2"/>
      <c r="D948" s="159"/>
      <c r="E948" s="2"/>
      <c r="F948" s="159"/>
      <c r="G948" s="201"/>
      <c r="H948" s="2"/>
      <c r="I948" s="159"/>
      <c r="J948" s="201"/>
      <c r="K948" s="2"/>
      <c r="L948" s="2"/>
      <c r="M948" s="2"/>
      <c r="N948" s="2"/>
      <c r="O948" s="2"/>
      <c r="P948" s="2"/>
      <c r="Q948" s="2"/>
      <c r="R948" s="2"/>
      <c r="S948" s="2"/>
      <c r="T948" s="2"/>
      <c r="U948" s="2"/>
      <c r="V948" s="2"/>
      <c r="W948" s="2"/>
      <c r="X948" s="2"/>
      <c r="Y948" s="2"/>
      <c r="Z948" s="2"/>
      <c r="AA948" s="2"/>
      <c r="AB948" s="2"/>
      <c r="AC948" s="2"/>
      <c r="AD948" s="2"/>
      <c r="AE948" s="2"/>
      <c r="AF948" s="2"/>
      <c r="AG948" s="2"/>
      <c r="AH948" s="2"/>
      <c r="AI948" s="2"/>
      <c r="AJ948" s="2"/>
      <c r="AK948" s="2"/>
    </row>
    <row r="949" spans="2:37">
      <c r="C949" s="2"/>
      <c r="D949" s="159"/>
      <c r="E949" s="2"/>
      <c r="F949" s="159"/>
      <c r="G949" s="201"/>
      <c r="H949" s="2"/>
      <c r="I949" s="159"/>
      <c r="J949" s="201"/>
      <c r="K949" s="2"/>
      <c r="L949" s="2"/>
      <c r="M949" s="2"/>
      <c r="N949" s="2"/>
      <c r="O949" s="2"/>
      <c r="P949" s="2"/>
      <c r="Q949" s="2"/>
      <c r="R949" s="2"/>
      <c r="S949" s="2"/>
      <c r="T949" s="2"/>
      <c r="U949" s="2"/>
      <c r="V949" s="2"/>
      <c r="W949" s="2"/>
      <c r="X949" s="2"/>
      <c r="Y949" s="2"/>
      <c r="Z949" s="2"/>
      <c r="AA949" s="2"/>
      <c r="AB949" s="2"/>
      <c r="AC949" s="2"/>
      <c r="AD949" s="2"/>
      <c r="AE949" s="2"/>
      <c r="AF949" s="2"/>
      <c r="AG949" s="2"/>
      <c r="AH949" s="2"/>
      <c r="AI949" s="2"/>
      <c r="AJ949" s="2"/>
      <c r="AK949" s="2"/>
    </row>
    <row r="950" spans="2:37">
      <c r="C950" s="2"/>
      <c r="D950" s="159"/>
      <c r="E950" s="2"/>
      <c r="F950" s="159"/>
      <c r="G950" s="201"/>
      <c r="H950" s="2"/>
      <c r="I950" s="159"/>
      <c r="J950" s="201"/>
      <c r="K950" s="2"/>
      <c r="L950" s="2"/>
      <c r="M950" s="2"/>
      <c r="N950" s="2"/>
      <c r="O950" s="2"/>
      <c r="P950" s="2"/>
      <c r="Q950" s="2"/>
      <c r="R950" s="2"/>
      <c r="S950" s="2"/>
      <c r="T950" s="2"/>
      <c r="U950" s="2"/>
      <c r="V950" s="2"/>
      <c r="W950" s="2"/>
      <c r="X950" s="2"/>
      <c r="Y950" s="2"/>
      <c r="Z950" s="2"/>
      <c r="AA950" s="2"/>
      <c r="AB950" s="2"/>
      <c r="AC950" s="2"/>
      <c r="AD950" s="2"/>
      <c r="AE950" s="2"/>
      <c r="AF950" s="2"/>
      <c r="AG950" s="2"/>
      <c r="AH950" s="2"/>
      <c r="AI950" s="2"/>
      <c r="AJ950" s="2"/>
      <c r="AK950" s="2"/>
    </row>
    <row r="951" spans="2:37">
      <c r="C951" s="2"/>
      <c r="D951" s="159"/>
      <c r="E951" s="2"/>
      <c r="F951" s="159"/>
      <c r="G951" s="201"/>
      <c r="H951" s="2"/>
      <c r="I951" s="159"/>
      <c r="J951" s="201"/>
      <c r="K951" s="2"/>
      <c r="L951" s="2"/>
      <c r="M951" s="2"/>
      <c r="N951" s="2"/>
      <c r="O951" s="2"/>
      <c r="P951" s="140" t="str">
        <f>$B$894</f>
        <v>Food Service Expenditures (3100)</v>
      </c>
      <c r="Q951" s="2"/>
      <c r="R951" s="2"/>
      <c r="S951" s="2"/>
      <c r="T951" s="2"/>
      <c r="U951" s="2"/>
      <c r="V951" s="2"/>
      <c r="W951" s="2"/>
      <c r="X951" s="2"/>
      <c r="Y951" s="2"/>
      <c r="Z951" s="2"/>
      <c r="AA951" s="2"/>
      <c r="AB951" s="2"/>
      <c r="AC951" s="2"/>
      <c r="AD951" s="2"/>
      <c r="AE951" s="2"/>
      <c r="AF951" s="2"/>
      <c r="AG951" s="2"/>
      <c r="AH951" s="2"/>
      <c r="AI951" s="2"/>
      <c r="AJ951" s="2"/>
      <c r="AK951" s="2"/>
    </row>
    <row r="952" spans="2:37">
      <c r="C952" s="2"/>
      <c r="D952" s="159"/>
      <c r="E952" s="2"/>
      <c r="F952" s="159"/>
      <c r="G952" s="201"/>
      <c r="H952" s="2"/>
      <c r="I952" s="159"/>
      <c r="J952" s="201"/>
      <c r="K952" s="2"/>
      <c r="L952" s="2"/>
      <c r="M952" s="2"/>
      <c r="N952" s="2"/>
      <c r="O952" s="2"/>
      <c r="P952" s="82" t="str">
        <f>D4</f>
        <v>2023-2024</v>
      </c>
      <c r="Q952" s="82" t="str">
        <f>F4</f>
        <v>2024-2025</v>
      </c>
      <c r="R952" s="82" t="str">
        <f>I4</f>
        <v>2025-2026</v>
      </c>
      <c r="S952" s="2"/>
      <c r="T952" s="2"/>
      <c r="U952" s="2"/>
      <c r="V952" s="2"/>
      <c r="W952" s="2"/>
      <c r="X952" s="2"/>
      <c r="Y952" s="2"/>
      <c r="Z952" s="2"/>
      <c r="AA952" s="2"/>
      <c r="AB952" s="2"/>
      <c r="AC952" s="2"/>
      <c r="AD952" s="2"/>
      <c r="AE952" s="2"/>
      <c r="AF952" s="2"/>
      <c r="AG952" s="2"/>
      <c r="AH952" s="2"/>
      <c r="AI952" s="2"/>
      <c r="AJ952" s="2"/>
      <c r="AK952" s="2"/>
    </row>
    <row r="953" spans="2:37">
      <c r="C953" s="2"/>
      <c r="D953" s="159"/>
      <c r="E953" s="2"/>
      <c r="F953" s="159"/>
      <c r="G953" s="201"/>
      <c r="H953" s="2"/>
      <c r="I953" s="159"/>
      <c r="J953" s="201"/>
      <c r="K953" s="2"/>
      <c r="L953" s="2"/>
      <c r="M953" s="2"/>
      <c r="N953" s="2"/>
      <c r="O953" s="140" t="str">
        <f>$B894</f>
        <v>Food Service Expenditures (3100)</v>
      </c>
      <c r="P953" s="207">
        <f>IF(AND($D936&lt;=0,$F936&lt;=0,$J936&lt;=0),#N/A,IF($D936&lt;=0,0,$D936))</f>
        <v>122157</v>
      </c>
      <c r="Q953" s="207">
        <f>IF(AND($D936&lt;=0,$F936&lt;=0,$J936&lt;=0),#N/A,IF($F936&lt;=0,0,$F936))</f>
        <v>133439</v>
      </c>
      <c r="R953" s="207">
        <f>IF(AND($D936&lt;=0,$F936&lt;=0,$J936&lt;=0),#N/A,IF($J936&lt;=0,0,$J936))</f>
        <v>129500</v>
      </c>
      <c r="S953" s="2"/>
      <c r="T953" s="2"/>
      <c r="U953" s="2"/>
      <c r="V953" s="2"/>
      <c r="W953" s="2"/>
      <c r="X953" s="2"/>
      <c r="Y953" s="2"/>
      <c r="Z953" s="2"/>
      <c r="AA953" s="2"/>
      <c r="AB953" s="2"/>
      <c r="AC953" s="2"/>
      <c r="AD953" s="2"/>
      <c r="AE953" s="2"/>
      <c r="AF953" s="2"/>
      <c r="AG953" s="2"/>
      <c r="AH953" s="2"/>
      <c r="AI953" s="2"/>
      <c r="AJ953" s="2"/>
      <c r="AK953" s="2"/>
    </row>
    <row r="954" spans="2:37">
      <c r="B954" s="2"/>
      <c r="C954" s="2"/>
      <c r="D954" s="159"/>
      <c r="E954" s="2"/>
      <c r="F954" s="159"/>
      <c r="G954" s="201"/>
      <c r="H954" s="2"/>
      <c r="I954" s="159"/>
      <c r="J954" s="201"/>
      <c r="K954" s="2"/>
      <c r="L954" s="2"/>
      <c r="M954" s="2"/>
      <c r="N954" s="2"/>
      <c r="O954" s="2"/>
      <c r="P954" s="2"/>
      <c r="Q954" s="2"/>
      <c r="R954" s="2"/>
      <c r="S954" s="2"/>
      <c r="T954" s="2"/>
      <c r="U954" s="2"/>
      <c r="V954" s="2"/>
      <c r="W954" s="2"/>
      <c r="X954" s="2"/>
      <c r="Y954" s="2"/>
      <c r="Z954" s="2"/>
      <c r="AA954" s="2"/>
      <c r="AB954" s="2"/>
      <c r="AC954" s="2"/>
      <c r="AD954" s="2"/>
      <c r="AE954" s="2"/>
      <c r="AF954" s="2"/>
      <c r="AG954" s="2"/>
      <c r="AH954" s="2"/>
      <c r="AI954" s="2"/>
      <c r="AJ954" s="2"/>
      <c r="AK954" s="2"/>
    </row>
    <row r="955" spans="2:37">
      <c r="B955" s="2"/>
      <c r="C955" s="2"/>
      <c r="D955" s="159"/>
      <c r="E955" s="2"/>
      <c r="F955" s="159"/>
      <c r="G955" s="201"/>
      <c r="H955" s="2"/>
      <c r="I955" s="159"/>
      <c r="J955" s="201"/>
      <c r="K955" s="2"/>
      <c r="L955" s="2"/>
      <c r="M955" s="2"/>
      <c r="N955" s="2"/>
      <c r="O955" s="2"/>
      <c r="P955" s="2"/>
      <c r="Q955" s="2"/>
      <c r="R955" s="2"/>
      <c r="S955" s="2"/>
      <c r="T955" s="2"/>
      <c r="U955" s="2"/>
      <c r="V955" s="2"/>
      <c r="W955" s="2"/>
      <c r="X955" s="2"/>
      <c r="Y955" s="2"/>
      <c r="Z955" s="2"/>
      <c r="AA955" s="2"/>
      <c r="AB955" s="2"/>
      <c r="AC955" s="2"/>
      <c r="AD955" s="2"/>
      <c r="AE955" s="2"/>
      <c r="AF955" s="2"/>
      <c r="AG955" s="2"/>
      <c r="AH955" s="2"/>
      <c r="AI955" s="2"/>
      <c r="AJ955" s="2"/>
      <c r="AK955" s="2"/>
    </row>
    <row r="956" spans="2:37">
      <c r="B956" s="2"/>
      <c r="C956" s="2"/>
      <c r="D956" s="159"/>
      <c r="E956" s="2"/>
      <c r="F956" s="159"/>
      <c r="G956" s="201"/>
      <c r="H956" s="2"/>
      <c r="I956" s="159"/>
      <c r="J956" s="201"/>
      <c r="K956" s="2"/>
      <c r="L956" s="2"/>
      <c r="M956" s="2"/>
      <c r="N956" s="2"/>
      <c r="O956" s="2"/>
      <c r="P956" s="2"/>
      <c r="Q956" s="2"/>
      <c r="R956" s="2"/>
      <c r="S956" s="2"/>
      <c r="T956" s="2"/>
      <c r="U956" s="2"/>
      <c r="V956" s="2"/>
      <c r="W956" s="2"/>
      <c r="X956" s="2"/>
      <c r="Y956" s="2"/>
      <c r="Z956" s="2"/>
      <c r="AA956" s="2"/>
      <c r="AB956" s="2"/>
      <c r="AC956" s="2"/>
      <c r="AD956" s="2"/>
      <c r="AE956" s="2"/>
      <c r="AF956" s="2"/>
      <c r="AG956" s="2"/>
      <c r="AH956" s="2"/>
      <c r="AI956" s="2"/>
      <c r="AJ956" s="2"/>
      <c r="AK956" s="2"/>
    </row>
    <row r="957" spans="2:37">
      <c r="B957" s="2"/>
      <c r="C957" s="2"/>
      <c r="D957" s="2"/>
      <c r="E957" s="2"/>
      <c r="F957" s="46"/>
      <c r="G957" s="46"/>
      <c r="H957" s="46"/>
      <c r="I957" s="392"/>
      <c r="J957" s="392"/>
      <c r="K957" s="2"/>
      <c r="L957" s="2"/>
      <c r="M957" s="2"/>
      <c r="N957" s="2"/>
      <c r="O957" s="2"/>
      <c r="P957" s="2"/>
      <c r="Q957" s="2"/>
      <c r="R957" s="2"/>
      <c r="S957" s="2"/>
      <c r="T957" s="2"/>
      <c r="U957" s="2"/>
      <c r="V957" s="2"/>
      <c r="W957" s="2"/>
      <c r="X957" s="2"/>
      <c r="Y957" s="2"/>
      <c r="Z957" s="2"/>
      <c r="AA957" s="2"/>
      <c r="AB957" s="2"/>
      <c r="AC957" s="2"/>
      <c r="AD957" s="2"/>
      <c r="AE957" s="2"/>
      <c r="AF957" s="2"/>
      <c r="AG957" s="2"/>
      <c r="AH957" s="2"/>
      <c r="AI957" s="2"/>
      <c r="AJ957" s="2"/>
      <c r="AK957" s="2"/>
    </row>
    <row r="958" spans="2:37" ht="18">
      <c r="B958" s="316" t="s">
        <v>150</v>
      </c>
      <c r="C958" s="143"/>
      <c r="D958" s="143"/>
      <c r="E958" s="143"/>
      <c r="F958" s="143"/>
      <c r="G958" s="143"/>
      <c r="H958" s="143"/>
      <c r="I958" s="143"/>
      <c r="J958" s="143"/>
      <c r="K958" s="143"/>
      <c r="L958" s="143"/>
      <c r="M958" s="2"/>
      <c r="N958" s="2"/>
      <c r="O958" s="2"/>
      <c r="P958" s="2"/>
      <c r="Q958" s="2"/>
      <c r="R958" s="2"/>
      <c r="S958" s="2"/>
      <c r="T958" s="2"/>
      <c r="U958" s="2"/>
      <c r="V958" s="2"/>
      <c r="W958" s="2"/>
      <c r="X958" s="2"/>
      <c r="Y958" s="2"/>
      <c r="Z958" s="2"/>
      <c r="AA958" s="2"/>
      <c r="AB958" s="2"/>
      <c r="AC958" s="2"/>
      <c r="AD958" s="2"/>
      <c r="AE958" s="2"/>
      <c r="AF958" s="2"/>
      <c r="AG958" s="2"/>
      <c r="AH958" s="2"/>
      <c r="AI958" s="2"/>
      <c r="AJ958" s="2"/>
      <c r="AK958" s="2"/>
    </row>
    <row r="959" spans="2:37">
      <c r="B959" s="2"/>
      <c r="C959" s="386" t="s">
        <v>1</v>
      </c>
      <c r="D959" s="379"/>
      <c r="E959" s="4"/>
      <c r="F959" s="379"/>
      <c r="G959" s="380"/>
      <c r="H959" s="4"/>
      <c r="I959" s="317"/>
      <c r="J959" s="380"/>
      <c r="K959" s="2"/>
      <c r="L959" s="2"/>
      <c r="M959" s="2"/>
      <c r="N959" s="2"/>
      <c r="O959" s="2"/>
      <c r="P959" s="2"/>
      <c r="Q959" s="2"/>
      <c r="R959" s="2"/>
      <c r="S959" s="2"/>
      <c r="T959" s="2"/>
      <c r="U959" s="2"/>
      <c r="V959" s="2"/>
      <c r="W959" s="2"/>
      <c r="X959" s="2"/>
      <c r="Y959" s="2"/>
      <c r="Z959" s="2"/>
      <c r="AA959" s="2"/>
      <c r="AB959" s="2"/>
      <c r="AC959" s="2"/>
      <c r="AD959" s="2"/>
      <c r="AE959" s="2"/>
      <c r="AF959" s="2"/>
      <c r="AG959" s="2"/>
      <c r="AH959" s="2"/>
      <c r="AI959" s="2"/>
      <c r="AJ959" s="2"/>
      <c r="AK959" s="2"/>
    </row>
    <row r="960" spans="2:37">
      <c r="B960" s="2"/>
      <c r="C960" s="145"/>
      <c r="D960" s="381" t="str">
        <f>D4</f>
        <v>2023-2024</v>
      </c>
      <c r="E960" s="43"/>
      <c r="F960" s="740" t="str">
        <f>F4</f>
        <v>2024-2025</v>
      </c>
      <c r="G960" s="741"/>
      <c r="H960" s="319" t="s">
        <v>2</v>
      </c>
      <c r="J960" s="740" t="str">
        <f>I4</f>
        <v>2025-2026</v>
      </c>
      <c r="K960" s="741"/>
      <c r="L960" s="387" t="s">
        <v>2</v>
      </c>
      <c r="M960" s="2"/>
      <c r="N960" s="2"/>
      <c r="O960" s="2"/>
      <c r="P960" s="2"/>
      <c r="Q960" s="2"/>
      <c r="R960" s="2"/>
      <c r="S960" s="2"/>
      <c r="T960" s="2"/>
      <c r="U960" s="2"/>
      <c r="V960" s="2"/>
      <c r="W960" s="2"/>
      <c r="X960" s="2"/>
      <c r="Y960" s="2"/>
      <c r="Z960" s="2"/>
      <c r="AA960" s="2"/>
      <c r="AB960" s="2"/>
      <c r="AC960" s="2"/>
      <c r="AD960" s="2"/>
      <c r="AE960" s="2"/>
      <c r="AF960" s="2"/>
      <c r="AG960" s="2"/>
      <c r="AH960" s="2"/>
      <c r="AI960" s="2"/>
      <c r="AJ960" s="2"/>
      <c r="AK960" s="2"/>
    </row>
    <row r="961" spans="2:37">
      <c r="B961" s="2"/>
      <c r="C961" s="220" t="s">
        <v>4</v>
      </c>
      <c r="D961" s="323" t="s">
        <v>5</v>
      </c>
      <c r="E961" s="43"/>
      <c r="F961" s="736" t="s">
        <v>5</v>
      </c>
      <c r="G961" s="737"/>
      <c r="H961" s="322" t="s">
        <v>144</v>
      </c>
      <c r="J961" s="736" t="s">
        <v>6</v>
      </c>
      <c r="K961" s="737"/>
      <c r="L961" s="388" t="s">
        <v>144</v>
      </c>
      <c r="M961" s="167"/>
      <c r="N961" s="2"/>
      <c r="O961" s="2"/>
      <c r="P961" s="2"/>
      <c r="Q961" s="2"/>
      <c r="R961" s="2"/>
      <c r="S961" s="2"/>
      <c r="T961" s="2"/>
      <c r="U961" s="2"/>
      <c r="V961" s="2"/>
      <c r="W961" s="2"/>
      <c r="X961" s="2"/>
      <c r="Y961" s="2"/>
      <c r="Z961" s="2"/>
      <c r="AA961" s="2"/>
      <c r="AB961" s="2"/>
      <c r="AC961" s="2"/>
      <c r="AD961" s="2"/>
      <c r="AE961" s="2"/>
      <c r="AF961" s="2"/>
      <c r="AG961" s="2"/>
      <c r="AH961" s="2"/>
      <c r="AI961" s="2"/>
      <c r="AJ961" s="2"/>
      <c r="AK961" s="2"/>
    </row>
    <row r="962" spans="2:37">
      <c r="B962" s="324" t="s">
        <v>34</v>
      </c>
      <c r="C962" s="325"/>
      <c r="D962" s="326">
        <f>[1]C06!$C$262</f>
        <v>0</v>
      </c>
      <c r="E962" s="327"/>
      <c r="F962" s="746">
        <f>[1]C06!$D$262</f>
        <v>0</v>
      </c>
      <c r="G962" s="745"/>
      <c r="H962" s="328">
        <f t="shared" ref="H962:H1000" si="93">IF(D962=0,0,((F962-D962)/D962))</f>
        <v>0</v>
      </c>
      <c r="J962" s="747">
        <f>[1]C06!$E$262</f>
        <v>0</v>
      </c>
      <c r="K962" s="732"/>
      <c r="L962" s="328">
        <f t="shared" ref="L962:L983" si="94">IF(F962=0,0,((J962-F962)/F962))</f>
        <v>0</v>
      </c>
      <c r="M962" s="2"/>
      <c r="N962" s="2"/>
      <c r="O962" s="2"/>
      <c r="P962" s="2"/>
      <c r="Q962" s="2"/>
      <c r="R962" s="2"/>
      <c r="S962" s="2"/>
      <c r="T962" s="2"/>
      <c r="U962" s="2"/>
      <c r="V962" s="2"/>
      <c r="W962" s="2"/>
      <c r="X962" s="2"/>
      <c r="Y962" s="2"/>
      <c r="Z962" s="2"/>
      <c r="AA962" s="2"/>
      <c r="AB962" s="2"/>
      <c r="AC962" s="2"/>
      <c r="AD962" s="2"/>
      <c r="AE962" s="2"/>
      <c r="AF962" s="2"/>
      <c r="AG962" s="2"/>
      <c r="AH962" s="2"/>
      <c r="AI962" s="2"/>
      <c r="AJ962" s="2"/>
      <c r="AK962" s="2"/>
    </row>
    <row r="963" spans="2:37">
      <c r="B963" s="44" t="s">
        <v>36</v>
      </c>
      <c r="C963" s="44"/>
      <c r="D963" s="329">
        <f>[1]C07!$C$218</f>
        <v>0</v>
      </c>
      <c r="E963" s="327"/>
      <c r="F963" s="743">
        <f>[1]C07!$D$218</f>
        <v>0</v>
      </c>
      <c r="G963" s="742"/>
      <c r="H963" s="330">
        <f t="shared" si="93"/>
        <v>0</v>
      </c>
      <c r="J963" s="671">
        <f>[1]C07!$E$218</f>
        <v>0</v>
      </c>
      <c r="K963" s="653"/>
      <c r="L963" s="330">
        <f t="shared" si="94"/>
        <v>0</v>
      </c>
      <c r="M963" s="2"/>
      <c r="N963" s="2"/>
      <c r="O963" s="2"/>
      <c r="P963" s="2"/>
      <c r="Q963" s="2"/>
      <c r="R963" s="2"/>
      <c r="S963" s="2"/>
      <c r="T963" s="2"/>
      <c r="U963" s="2"/>
      <c r="V963" s="2"/>
      <c r="W963" s="2"/>
      <c r="X963" s="2"/>
      <c r="Y963" s="2"/>
      <c r="Z963" s="2"/>
      <c r="AA963" s="2"/>
      <c r="AB963" s="2"/>
      <c r="AC963" s="2"/>
      <c r="AD963" s="2"/>
      <c r="AE963" s="2"/>
      <c r="AF963" s="2"/>
      <c r="AG963" s="2"/>
      <c r="AH963" s="2"/>
      <c r="AI963" s="2"/>
      <c r="AJ963" s="2"/>
      <c r="AK963" s="2"/>
    </row>
    <row r="964" spans="2:37">
      <c r="B964" s="324" t="s">
        <v>35</v>
      </c>
      <c r="C964" s="324"/>
      <c r="D964" s="331">
        <f>[1]C08!$C$267</f>
        <v>0</v>
      </c>
      <c r="E964" s="327"/>
      <c r="F964" s="748">
        <f>[1]C08!$D$267</f>
        <v>0</v>
      </c>
      <c r="G964" s="735"/>
      <c r="H964" s="332">
        <f t="shared" si="93"/>
        <v>0</v>
      </c>
      <c r="J964" s="656">
        <f>[1]C08!$E$267</f>
        <v>0</v>
      </c>
      <c r="K964" s="655"/>
      <c r="L964" s="332">
        <f t="shared" si="94"/>
        <v>0</v>
      </c>
      <c r="M964" s="2"/>
      <c r="N964" s="2"/>
      <c r="O964" s="167"/>
      <c r="P964" s="2"/>
      <c r="Q964" s="2"/>
      <c r="R964" s="2"/>
      <c r="S964" s="2"/>
      <c r="T964" s="2"/>
      <c r="U964" s="2"/>
      <c r="V964" s="2"/>
      <c r="W964" s="2"/>
      <c r="X964" s="2"/>
      <c r="Y964" s="2"/>
      <c r="Z964" s="2"/>
      <c r="AA964" s="2"/>
      <c r="AB964" s="2"/>
      <c r="AC964" s="2"/>
      <c r="AD964" s="2"/>
      <c r="AE964" s="2"/>
      <c r="AF964" s="2"/>
      <c r="AG964" s="2"/>
      <c r="AH964" s="2"/>
      <c r="AI964" s="2"/>
      <c r="AJ964" s="2"/>
      <c r="AK964" s="2"/>
    </row>
    <row r="965" spans="2:37">
      <c r="B965" s="1" t="s">
        <v>140</v>
      </c>
      <c r="C965" s="333"/>
      <c r="D965" s="336">
        <v>0</v>
      </c>
      <c r="E965" s="327"/>
      <c r="F965" s="742">
        <v>0</v>
      </c>
      <c r="G965" s="742"/>
      <c r="H965" s="330">
        <f t="shared" si="93"/>
        <v>0</v>
      </c>
      <c r="J965" s="733">
        <v>0</v>
      </c>
      <c r="K965" s="673"/>
      <c r="L965" s="330">
        <f t="shared" si="94"/>
        <v>0</v>
      </c>
      <c r="M965" s="2"/>
      <c r="N965" s="2"/>
      <c r="O965" s="393"/>
      <c r="P965" s="2"/>
      <c r="Q965" s="2"/>
      <c r="R965" s="2"/>
      <c r="S965" s="2"/>
      <c r="T965" s="2"/>
      <c r="U965" s="2"/>
      <c r="V965" s="2"/>
      <c r="W965" s="2"/>
      <c r="X965" s="2"/>
      <c r="Y965" s="2"/>
      <c r="Z965" s="2"/>
      <c r="AA965" s="2"/>
      <c r="AB965" s="2"/>
      <c r="AC965" s="2"/>
      <c r="AD965" s="2"/>
      <c r="AE965" s="2"/>
      <c r="AF965" s="2"/>
      <c r="AG965" s="2"/>
      <c r="AH965" s="2"/>
      <c r="AI965" s="2"/>
      <c r="AJ965" s="2"/>
      <c r="AK965" s="2"/>
    </row>
    <row r="966" spans="2:37">
      <c r="B966" s="324" t="s">
        <v>277</v>
      </c>
      <c r="C966" s="335"/>
      <c r="D966" s="339">
        <v>0</v>
      </c>
      <c r="E966" s="327"/>
      <c r="F966" s="735">
        <v>0</v>
      </c>
      <c r="G966" s="735"/>
      <c r="H966" s="332">
        <f t="shared" si="93"/>
        <v>0</v>
      </c>
      <c r="J966" s="734">
        <v>0</v>
      </c>
      <c r="K966" s="675"/>
      <c r="L966" s="332">
        <f t="shared" si="94"/>
        <v>0</v>
      </c>
      <c r="M966" s="2"/>
      <c r="N966" s="2"/>
      <c r="O966" s="2"/>
      <c r="P966" s="2"/>
      <c r="Q966" s="2"/>
      <c r="R966" s="2"/>
      <c r="S966" s="2"/>
      <c r="T966" s="2"/>
      <c r="U966" s="2"/>
      <c r="V966" s="2"/>
      <c r="W966" s="2"/>
      <c r="X966" s="2"/>
      <c r="Y966" s="2"/>
      <c r="Z966" s="2"/>
      <c r="AA966" s="2"/>
      <c r="AB966" s="2"/>
      <c r="AC966" s="2"/>
      <c r="AD966" s="2"/>
      <c r="AE966" s="2"/>
      <c r="AF966" s="2"/>
      <c r="AG966" s="2"/>
      <c r="AH966" s="2"/>
      <c r="AI966" s="2"/>
      <c r="AJ966" s="2"/>
      <c r="AK966" s="2"/>
    </row>
    <row r="967" spans="2:37">
      <c r="B967" s="1" t="s">
        <v>39</v>
      </c>
      <c r="C967" s="1"/>
      <c r="D967" s="336">
        <v>0</v>
      </c>
      <c r="E967" s="327"/>
      <c r="F967" s="742">
        <v>0</v>
      </c>
      <c r="G967" s="742"/>
      <c r="H967" s="330">
        <f t="shared" si="93"/>
        <v>0</v>
      </c>
      <c r="J967" s="652">
        <v>0</v>
      </c>
      <c r="K967" s="653"/>
      <c r="L967" s="330">
        <f t="shared" si="94"/>
        <v>0</v>
      </c>
      <c r="M967" s="2"/>
      <c r="N967" s="2"/>
      <c r="O967" s="2"/>
      <c r="P967" s="2"/>
      <c r="Q967" s="2"/>
      <c r="R967" s="2"/>
      <c r="S967" s="2"/>
      <c r="T967" s="2"/>
      <c r="U967" s="2"/>
      <c r="V967" s="2"/>
      <c r="W967" s="2"/>
      <c r="X967" s="2"/>
      <c r="Y967" s="2"/>
      <c r="Z967" s="2"/>
      <c r="AA967" s="2"/>
      <c r="AB967" s="2"/>
      <c r="AC967" s="2"/>
      <c r="AD967" s="2"/>
      <c r="AE967" s="2"/>
      <c r="AF967" s="2"/>
      <c r="AG967" s="2"/>
      <c r="AH967" s="2"/>
      <c r="AI967" s="2"/>
      <c r="AJ967" s="2"/>
      <c r="AK967" s="2"/>
    </row>
    <row r="968" spans="2:37">
      <c r="B968" s="324" t="s">
        <v>40</v>
      </c>
      <c r="C968" s="324"/>
      <c r="D968" s="339">
        <v>0</v>
      </c>
      <c r="E968" s="327"/>
      <c r="F968" s="735">
        <v>0</v>
      </c>
      <c r="G968" s="735"/>
      <c r="H968" s="332">
        <f t="shared" si="93"/>
        <v>0</v>
      </c>
      <c r="J968" s="654">
        <v>0</v>
      </c>
      <c r="K968" s="655"/>
      <c r="L968" s="332">
        <f t="shared" si="94"/>
        <v>0</v>
      </c>
      <c r="M968" s="2"/>
      <c r="N968" s="2"/>
      <c r="O968" s="2"/>
      <c r="P968" s="2"/>
      <c r="Q968" s="2"/>
      <c r="R968" s="2"/>
      <c r="S968" s="2"/>
      <c r="T968" s="2"/>
      <c r="U968" s="2"/>
      <c r="V968" s="2"/>
      <c r="W968" s="2"/>
      <c r="X968" s="2"/>
      <c r="Y968" s="2"/>
      <c r="Z968" s="2"/>
      <c r="AA968" s="2"/>
      <c r="AB968" s="2"/>
      <c r="AC968" s="2"/>
      <c r="AD968" s="2"/>
      <c r="AE968" s="2"/>
      <c r="AF968" s="2"/>
      <c r="AG968" s="2"/>
      <c r="AH968" s="2"/>
      <c r="AI968" s="2"/>
      <c r="AJ968" s="2"/>
      <c r="AK968" s="2"/>
    </row>
    <row r="969" spans="2:37">
      <c r="B969" s="1" t="s">
        <v>41</v>
      </c>
      <c r="C969" s="1"/>
      <c r="D969" s="336">
        <v>0</v>
      </c>
      <c r="E969" s="327"/>
      <c r="F969" s="742">
        <v>0</v>
      </c>
      <c r="G969" s="742"/>
      <c r="H969" s="330">
        <f t="shared" si="93"/>
        <v>0</v>
      </c>
      <c r="J969" s="652">
        <v>0</v>
      </c>
      <c r="K969" s="653"/>
      <c r="L969" s="330">
        <f t="shared" si="94"/>
        <v>0</v>
      </c>
      <c r="M969" s="2"/>
      <c r="N969" s="2"/>
      <c r="O969" s="2"/>
      <c r="P969" s="2"/>
      <c r="Q969" s="2"/>
      <c r="R969" s="2"/>
      <c r="S969" s="2"/>
      <c r="T969" s="2"/>
      <c r="U969" s="2"/>
      <c r="V969" s="2"/>
      <c r="W969" s="2"/>
      <c r="X969" s="2"/>
      <c r="Y969" s="2"/>
      <c r="Z969" s="2"/>
      <c r="AA969" s="2"/>
      <c r="AB969" s="2"/>
      <c r="AC969" s="2"/>
      <c r="AD969" s="2"/>
      <c r="AE969" s="2"/>
      <c r="AF969" s="2"/>
      <c r="AG969" s="2"/>
      <c r="AH969" s="2"/>
      <c r="AI969" s="2"/>
      <c r="AJ969" s="2"/>
      <c r="AK969" s="2"/>
    </row>
    <row r="970" spans="2:37">
      <c r="B970" s="324" t="s">
        <v>70</v>
      </c>
      <c r="C970" s="324"/>
      <c r="D970" s="339">
        <v>0</v>
      </c>
      <c r="E970" s="327"/>
      <c r="F970" s="735">
        <v>0</v>
      </c>
      <c r="G970" s="735"/>
      <c r="H970" s="332">
        <f t="shared" si="93"/>
        <v>0</v>
      </c>
      <c r="J970" s="654">
        <v>0</v>
      </c>
      <c r="K970" s="655"/>
      <c r="L970" s="332">
        <f t="shared" si="94"/>
        <v>0</v>
      </c>
      <c r="M970" s="2"/>
      <c r="N970" s="2"/>
      <c r="O970" s="2"/>
      <c r="P970" s="2"/>
      <c r="Q970" s="2"/>
      <c r="R970" s="2"/>
      <c r="S970" s="2"/>
      <c r="T970" s="2"/>
      <c r="U970" s="2"/>
      <c r="V970" s="2"/>
      <c r="W970" s="2"/>
      <c r="X970" s="2"/>
      <c r="Y970" s="2"/>
      <c r="Z970" s="2"/>
      <c r="AA970" s="2"/>
      <c r="AB970" s="2"/>
      <c r="AC970" s="2"/>
      <c r="AD970" s="2"/>
      <c r="AE970" s="2"/>
      <c r="AF970" s="2"/>
      <c r="AG970" s="2"/>
      <c r="AH970" s="2"/>
      <c r="AI970" s="2"/>
      <c r="AJ970" s="2"/>
      <c r="AK970" s="2"/>
    </row>
    <row r="971" spans="2:37">
      <c r="B971" s="1" t="s">
        <v>43</v>
      </c>
      <c r="C971" s="1"/>
      <c r="D971" s="336">
        <v>0</v>
      </c>
      <c r="E971" s="327"/>
      <c r="F971" s="652">
        <v>0</v>
      </c>
      <c r="G971" s="653"/>
      <c r="H971" s="330">
        <f t="shared" si="93"/>
        <v>0</v>
      </c>
      <c r="J971" s="652">
        <v>0</v>
      </c>
      <c r="K971" s="653"/>
      <c r="L971" s="330">
        <f t="shared" si="94"/>
        <v>0</v>
      </c>
      <c r="M971" s="2"/>
      <c r="N971" s="2"/>
      <c r="O971" s="2"/>
      <c r="P971" s="2"/>
      <c r="Q971" s="2"/>
      <c r="R971" s="2"/>
      <c r="S971" s="2"/>
      <c r="T971" s="2"/>
      <c r="U971" s="2"/>
      <c r="V971" s="2"/>
      <c r="W971" s="2"/>
      <c r="X971" s="2"/>
      <c r="Y971" s="2"/>
      <c r="Z971" s="2"/>
      <c r="AA971" s="2"/>
      <c r="AB971" s="2"/>
      <c r="AC971" s="2"/>
      <c r="AD971" s="2"/>
      <c r="AE971" s="2"/>
      <c r="AF971" s="2"/>
      <c r="AG971" s="2"/>
      <c r="AH971" s="2"/>
      <c r="AI971" s="2"/>
      <c r="AJ971" s="2"/>
      <c r="AK971" s="2"/>
    </row>
    <row r="972" spans="2:37">
      <c r="B972" s="324" t="s">
        <v>44</v>
      </c>
      <c r="C972" s="324"/>
      <c r="D972" s="339">
        <v>0</v>
      </c>
      <c r="E972" s="327"/>
      <c r="F972" s="654">
        <v>0</v>
      </c>
      <c r="G972" s="655"/>
      <c r="H972" s="332">
        <f t="shared" si="93"/>
        <v>0</v>
      </c>
      <c r="J972" s="654">
        <v>0</v>
      </c>
      <c r="K972" s="655"/>
      <c r="L972" s="332">
        <f t="shared" si="94"/>
        <v>0</v>
      </c>
      <c r="M972" s="2"/>
      <c r="N972" s="2"/>
      <c r="O972" s="2"/>
      <c r="P972" s="2"/>
      <c r="Q972" s="2"/>
      <c r="R972" s="2"/>
      <c r="S972" s="2"/>
      <c r="T972" s="2"/>
      <c r="U972" s="2"/>
      <c r="V972" s="2"/>
      <c r="W972" s="2"/>
      <c r="X972" s="2"/>
      <c r="Y972" s="2"/>
      <c r="Z972" s="2"/>
      <c r="AA972" s="2"/>
      <c r="AB972" s="2"/>
      <c r="AC972" s="2"/>
      <c r="AD972" s="2"/>
      <c r="AE972" s="2"/>
      <c r="AF972" s="2"/>
      <c r="AG972" s="2"/>
      <c r="AH972" s="2"/>
      <c r="AI972" s="2"/>
      <c r="AJ972" s="2"/>
      <c r="AK972" s="2"/>
    </row>
    <row r="973" spans="2:37">
      <c r="B973" s="1" t="s">
        <v>45</v>
      </c>
      <c r="C973" s="337"/>
      <c r="D973" s="336">
        <v>0</v>
      </c>
      <c r="E973" s="327"/>
      <c r="F973" s="652">
        <v>0</v>
      </c>
      <c r="G973" s="653"/>
      <c r="H973" s="330">
        <f t="shared" si="93"/>
        <v>0</v>
      </c>
      <c r="J973" s="652">
        <v>0</v>
      </c>
      <c r="K973" s="653"/>
      <c r="L973" s="330">
        <f t="shared" si="94"/>
        <v>0</v>
      </c>
      <c r="M973" s="2"/>
      <c r="N973" s="2"/>
      <c r="O973" s="2"/>
      <c r="P973" s="2"/>
      <c r="Q973" s="2"/>
      <c r="R973" s="2"/>
      <c r="S973" s="2"/>
      <c r="T973" s="2"/>
      <c r="U973" s="2"/>
      <c r="V973" s="2"/>
      <c r="W973" s="2"/>
      <c r="X973" s="2"/>
      <c r="Y973" s="2"/>
      <c r="Z973" s="2"/>
      <c r="AA973" s="2"/>
      <c r="AB973" s="2"/>
      <c r="AC973" s="2"/>
      <c r="AD973" s="2"/>
      <c r="AE973" s="2"/>
      <c r="AF973" s="2"/>
      <c r="AG973" s="2"/>
      <c r="AH973" s="2"/>
      <c r="AI973" s="2"/>
      <c r="AJ973" s="2"/>
      <c r="AK973" s="2"/>
    </row>
    <row r="974" spans="2:37">
      <c r="B974" s="324" t="s">
        <v>46</v>
      </c>
      <c r="C974" s="338"/>
      <c r="D974" s="339">
        <v>0</v>
      </c>
      <c r="E974" s="327"/>
      <c r="F974" s="654">
        <v>0</v>
      </c>
      <c r="G974" s="655"/>
      <c r="H974" s="332">
        <f t="shared" si="93"/>
        <v>0</v>
      </c>
      <c r="J974" s="654">
        <v>0</v>
      </c>
      <c r="K974" s="655"/>
      <c r="L974" s="332">
        <f t="shared" si="94"/>
        <v>0</v>
      </c>
      <c r="M974" s="2"/>
      <c r="N974" s="2"/>
      <c r="O974" s="2"/>
      <c r="P974" s="2"/>
      <c r="Q974" s="2"/>
      <c r="R974" s="2"/>
      <c r="S974" s="2"/>
      <c r="T974" s="2"/>
      <c r="U974" s="2"/>
      <c r="V974" s="2"/>
      <c r="W974" s="2"/>
      <c r="X974" s="2"/>
      <c r="Y974" s="2"/>
      <c r="Z974" s="2"/>
      <c r="AA974" s="2"/>
      <c r="AB974" s="2"/>
      <c r="AC974" s="2"/>
      <c r="AD974" s="2"/>
      <c r="AE974" s="2"/>
      <c r="AF974" s="2"/>
      <c r="AG974" s="2"/>
      <c r="AH974" s="2"/>
      <c r="AI974" s="2"/>
      <c r="AJ974" s="2"/>
      <c r="AK974" s="2"/>
    </row>
    <row r="975" spans="2:37">
      <c r="B975" s="1" t="s">
        <v>47</v>
      </c>
      <c r="C975" s="337"/>
      <c r="D975" s="336">
        <v>0</v>
      </c>
      <c r="E975" s="327"/>
      <c r="F975" s="652">
        <v>0</v>
      </c>
      <c r="G975" s="653"/>
      <c r="H975" s="330">
        <f t="shared" si="93"/>
        <v>0</v>
      </c>
      <c r="J975" s="652">
        <v>0</v>
      </c>
      <c r="K975" s="653"/>
      <c r="L975" s="330">
        <f t="shared" si="94"/>
        <v>0</v>
      </c>
      <c r="M975" s="2"/>
      <c r="N975" s="2"/>
      <c r="O975" s="2"/>
      <c r="P975" s="2"/>
      <c r="Q975" s="2"/>
      <c r="R975" s="2"/>
      <c r="S975" s="2"/>
      <c r="T975" s="2"/>
      <c r="U975" s="2"/>
      <c r="V975" s="2"/>
      <c r="W975" s="2"/>
      <c r="X975" s="2"/>
      <c r="Y975" s="2"/>
      <c r="Z975" s="2"/>
      <c r="AA975" s="2"/>
      <c r="AB975" s="2"/>
      <c r="AC975" s="2"/>
      <c r="AD975" s="2"/>
      <c r="AE975" s="2"/>
      <c r="AF975" s="2"/>
      <c r="AG975" s="2"/>
      <c r="AH975" s="2"/>
      <c r="AI975" s="2"/>
      <c r="AJ975" s="2"/>
      <c r="AK975" s="2"/>
    </row>
    <row r="976" spans="2:37">
      <c r="B976" s="324" t="s">
        <v>48</v>
      </c>
      <c r="C976" s="338"/>
      <c r="D976" s="331">
        <f>[1]C029!$C$168</f>
        <v>0</v>
      </c>
      <c r="E976" s="327"/>
      <c r="F976" s="656">
        <f>[1]C029!$D$168</f>
        <v>0</v>
      </c>
      <c r="G976" s="655"/>
      <c r="H976" s="332">
        <f t="shared" si="93"/>
        <v>0</v>
      </c>
      <c r="J976" s="656">
        <f>[1]C029!$E$168</f>
        <v>0</v>
      </c>
      <c r="K976" s="655"/>
      <c r="L976" s="332">
        <f t="shared" si="94"/>
        <v>0</v>
      </c>
      <c r="M976" s="2"/>
      <c r="N976" s="2"/>
      <c r="O976" s="2"/>
      <c r="P976" s="2"/>
      <c r="Q976" s="2"/>
      <c r="R976" s="2"/>
      <c r="S976" s="2"/>
      <c r="T976" s="2"/>
      <c r="U976" s="2"/>
      <c r="V976" s="2"/>
      <c r="W976" s="2"/>
      <c r="X976" s="2"/>
      <c r="Y976" s="2"/>
      <c r="Z976" s="2"/>
      <c r="AA976" s="2"/>
      <c r="AB976" s="2"/>
      <c r="AC976" s="2"/>
      <c r="AD976" s="2"/>
      <c r="AE976" s="2"/>
      <c r="AF976" s="2"/>
      <c r="AG976" s="2"/>
      <c r="AH976" s="2"/>
      <c r="AI976" s="2"/>
      <c r="AJ976" s="2"/>
      <c r="AK976" s="2"/>
    </row>
    <row r="977" spans="2:37">
      <c r="B977" s="1" t="s">
        <v>37</v>
      </c>
      <c r="C977" s="337"/>
      <c r="D977" s="336">
        <v>0</v>
      </c>
      <c r="E977" s="327"/>
      <c r="F977" s="652">
        <v>0</v>
      </c>
      <c r="G977" s="653"/>
      <c r="H977" s="330">
        <f t="shared" si="93"/>
        <v>0</v>
      </c>
      <c r="J977" s="652">
        <v>0</v>
      </c>
      <c r="K977" s="653"/>
      <c r="L977" s="330">
        <f t="shared" si="94"/>
        <v>0</v>
      </c>
      <c r="M977" s="2"/>
      <c r="N977" s="2"/>
      <c r="O977" s="2"/>
      <c r="P977" s="2"/>
      <c r="Q977" s="2"/>
      <c r="R977" s="2"/>
      <c r="S977" s="2"/>
      <c r="T977" s="2"/>
      <c r="U977" s="2"/>
      <c r="V977" s="2"/>
      <c r="W977" s="2"/>
      <c r="X977" s="2"/>
      <c r="Y977" s="2"/>
      <c r="Z977" s="2"/>
      <c r="AA977" s="2"/>
      <c r="AB977" s="2"/>
      <c r="AC977" s="2"/>
      <c r="AD977" s="2"/>
      <c r="AE977" s="2"/>
      <c r="AF977" s="2"/>
      <c r="AG977" s="2"/>
      <c r="AH977" s="2"/>
      <c r="AI977" s="2"/>
      <c r="AJ977" s="2"/>
      <c r="AK977" s="2"/>
    </row>
    <row r="978" spans="2:37">
      <c r="B978" s="324" t="s">
        <v>49</v>
      </c>
      <c r="C978" s="338"/>
      <c r="D978" s="339">
        <v>0</v>
      </c>
      <c r="E978" s="327"/>
      <c r="F978" s="654">
        <v>0</v>
      </c>
      <c r="G978" s="655"/>
      <c r="H978" s="332">
        <f t="shared" si="93"/>
        <v>0</v>
      </c>
      <c r="J978" s="654">
        <v>0</v>
      </c>
      <c r="K978" s="655"/>
      <c r="L978" s="332">
        <f t="shared" si="94"/>
        <v>0</v>
      </c>
      <c r="M978" s="2"/>
      <c r="N978" s="2"/>
      <c r="O978" s="2"/>
      <c r="P978" s="2"/>
      <c r="Q978" s="2"/>
      <c r="R978" s="2"/>
      <c r="S978" s="2"/>
      <c r="T978" s="2"/>
      <c r="U978" s="2"/>
      <c r="V978" s="2"/>
      <c r="W978" s="2"/>
      <c r="X978" s="2"/>
      <c r="Y978" s="2"/>
      <c r="Z978" s="2"/>
      <c r="AA978" s="2"/>
      <c r="AB978" s="2"/>
      <c r="AC978" s="2"/>
      <c r="AD978" s="2"/>
      <c r="AE978" s="2"/>
      <c r="AF978" s="2"/>
      <c r="AG978" s="2"/>
      <c r="AH978" s="2"/>
      <c r="AI978" s="2"/>
      <c r="AJ978" s="2"/>
      <c r="AK978" s="2"/>
    </row>
    <row r="979" spans="2:37">
      <c r="B979" s="370" t="str">
        <f>B338</f>
        <v>Career and Postsecondary Ed.</v>
      </c>
      <c r="C979" s="337"/>
      <c r="D979" s="336">
        <v>0</v>
      </c>
      <c r="E979" s="327"/>
      <c r="F979" s="652">
        <v>0</v>
      </c>
      <c r="G979" s="653"/>
      <c r="H979" s="330">
        <f t="shared" si="93"/>
        <v>0</v>
      </c>
      <c r="J979" s="652">
        <v>0</v>
      </c>
      <c r="K979" s="653"/>
      <c r="L979" s="330">
        <f t="shared" si="94"/>
        <v>0</v>
      </c>
      <c r="M979" s="2"/>
      <c r="N979" s="2"/>
      <c r="O979" s="2"/>
      <c r="P979" s="2"/>
      <c r="Q979" s="2"/>
      <c r="R979" s="2"/>
      <c r="S979" s="2"/>
      <c r="T979" s="2"/>
      <c r="U979" s="2"/>
      <c r="V979" s="2"/>
      <c r="W979" s="2"/>
      <c r="X979" s="2"/>
      <c r="Y979" s="2"/>
      <c r="Z979" s="2"/>
      <c r="AA979" s="2"/>
      <c r="AB979" s="2"/>
      <c r="AC979" s="2"/>
      <c r="AD979" s="2"/>
      <c r="AE979" s="2"/>
      <c r="AF979" s="2"/>
      <c r="AG979" s="2"/>
      <c r="AH979" s="2"/>
      <c r="AI979" s="2"/>
      <c r="AJ979" s="2"/>
      <c r="AK979" s="2"/>
    </row>
    <row r="980" spans="2:37" ht="17.25" customHeight="1">
      <c r="B980" s="324" t="s">
        <v>178</v>
      </c>
      <c r="C980" s="338">
        <v>35</v>
      </c>
      <c r="D980" s="331">
        <f>[1]C035!$C$229</f>
        <v>0</v>
      </c>
      <c r="E980" s="327"/>
      <c r="F980" s="656">
        <f>[1]C035!$D$229</f>
        <v>0</v>
      </c>
      <c r="G980" s="655"/>
      <c r="H980" s="332">
        <f t="shared" si="93"/>
        <v>0</v>
      </c>
      <c r="J980" s="656">
        <f>[1]C035!$E$229</f>
        <v>0</v>
      </c>
      <c r="K980" s="655"/>
      <c r="L980" s="332">
        <f t="shared" si="94"/>
        <v>0</v>
      </c>
      <c r="M980" s="2"/>
      <c r="N980" s="2"/>
      <c r="O980" s="2"/>
      <c r="P980" s="2"/>
      <c r="Q980" s="2"/>
      <c r="R980" s="2"/>
      <c r="S980" s="2"/>
      <c r="T980" s="2"/>
      <c r="U980" s="2"/>
      <c r="V980" s="2"/>
      <c r="W980" s="2"/>
      <c r="X980" s="2"/>
      <c r="Y980" s="2"/>
      <c r="Z980" s="2"/>
      <c r="AA980" s="2"/>
      <c r="AB980" s="2"/>
      <c r="AC980" s="2"/>
      <c r="AD980" s="2"/>
      <c r="AE980" s="2"/>
      <c r="AF980" s="2"/>
      <c r="AG980" s="2"/>
      <c r="AH980" s="2"/>
      <c r="AI980" s="2"/>
      <c r="AJ980" s="2"/>
      <c r="AK980" s="2"/>
    </row>
    <row r="981" spans="2:37">
      <c r="B981" s="1" t="s">
        <v>71</v>
      </c>
      <c r="C981" s="337">
        <v>42</v>
      </c>
      <c r="D981" s="336">
        <v>0</v>
      </c>
      <c r="E981" s="327"/>
      <c r="F981" s="652">
        <v>0</v>
      </c>
      <c r="G981" s="653"/>
      <c r="H981" s="330">
        <f t="shared" si="93"/>
        <v>0</v>
      </c>
      <c r="J981" s="652">
        <v>0</v>
      </c>
      <c r="K981" s="653"/>
      <c r="L981" s="330">
        <f t="shared" si="94"/>
        <v>0</v>
      </c>
      <c r="M981" s="2"/>
      <c r="N981" s="2"/>
      <c r="O981" s="2"/>
      <c r="P981" s="2"/>
      <c r="Q981" s="2"/>
      <c r="R981" s="2"/>
      <c r="S981" s="2"/>
      <c r="T981" s="2"/>
      <c r="U981" s="2"/>
      <c r="V981" s="2"/>
      <c r="W981" s="2"/>
      <c r="X981" s="2"/>
      <c r="Y981" s="2"/>
      <c r="Z981" s="2"/>
      <c r="AA981" s="2"/>
      <c r="AB981" s="2"/>
      <c r="AC981" s="2"/>
      <c r="AD981" s="2"/>
      <c r="AE981" s="2"/>
      <c r="AF981" s="2"/>
      <c r="AG981" s="2"/>
      <c r="AH981" s="2"/>
      <c r="AI981" s="2"/>
      <c r="AJ981" s="2"/>
      <c r="AK981" s="2"/>
    </row>
    <row r="982" spans="2:37">
      <c r="B982" s="324" t="s">
        <v>51</v>
      </c>
      <c r="C982" s="338">
        <v>44</v>
      </c>
      <c r="D982" s="339">
        <v>0</v>
      </c>
      <c r="E982" s="327"/>
      <c r="F982" s="654">
        <v>0</v>
      </c>
      <c r="G982" s="655"/>
      <c r="H982" s="332">
        <f t="shared" si="93"/>
        <v>0</v>
      </c>
      <c r="J982" s="654">
        <v>0</v>
      </c>
      <c r="K982" s="655"/>
      <c r="L982" s="332">
        <f t="shared" si="94"/>
        <v>0</v>
      </c>
      <c r="M982" s="2"/>
      <c r="N982" s="2"/>
      <c r="O982" s="2"/>
      <c r="P982" s="2"/>
      <c r="Q982" s="2"/>
      <c r="R982" s="2"/>
      <c r="S982" s="2"/>
      <c r="T982" s="2"/>
      <c r="U982" s="2"/>
      <c r="V982" s="2"/>
      <c r="W982" s="2"/>
      <c r="X982" s="2"/>
      <c r="Y982" s="2"/>
      <c r="Z982" s="2"/>
      <c r="AA982" s="2"/>
      <c r="AB982" s="2"/>
      <c r="AC982" s="2"/>
      <c r="AD982" s="2"/>
      <c r="AE982" s="2"/>
      <c r="AF982" s="2"/>
      <c r="AG982" s="2"/>
      <c r="AH982" s="2"/>
      <c r="AI982" s="2"/>
      <c r="AJ982" s="2"/>
      <c r="AK982" s="2"/>
    </row>
    <row r="983" spans="2:37">
      <c r="B983" s="45" t="s">
        <v>52</v>
      </c>
      <c r="C983" s="340">
        <v>45</v>
      </c>
      <c r="D983" s="341">
        <v>0</v>
      </c>
      <c r="E983" s="327"/>
      <c r="F983" s="652">
        <v>0</v>
      </c>
      <c r="G983" s="653"/>
      <c r="H983" s="330">
        <f t="shared" si="93"/>
        <v>0</v>
      </c>
      <c r="J983" s="652">
        <v>0</v>
      </c>
      <c r="K983" s="653"/>
      <c r="L983" s="330">
        <f t="shared" si="94"/>
        <v>0</v>
      </c>
      <c r="M983" s="2"/>
      <c r="N983" s="2"/>
      <c r="O983" s="2"/>
      <c r="P983" s="2"/>
      <c r="Q983" s="2"/>
      <c r="R983" s="2"/>
      <c r="S983" s="2"/>
      <c r="T983" s="2"/>
      <c r="U983" s="2"/>
      <c r="V983" s="2"/>
      <c r="W983" s="2"/>
      <c r="X983" s="2"/>
      <c r="Y983" s="2"/>
      <c r="Z983" s="2"/>
      <c r="AA983" s="2"/>
      <c r="AB983" s="2"/>
      <c r="AC983" s="2"/>
      <c r="AD983" s="2"/>
      <c r="AE983" s="2"/>
      <c r="AF983" s="2"/>
      <c r="AG983" s="2"/>
      <c r="AH983" s="2"/>
      <c r="AI983" s="2"/>
      <c r="AJ983" s="2"/>
      <c r="AK983" s="2"/>
    </row>
    <row r="984" spans="2:37" ht="17.25" customHeight="1">
      <c r="B984" s="342" t="s">
        <v>72</v>
      </c>
      <c r="C984" s="343">
        <v>46</v>
      </c>
      <c r="D984" s="344">
        <v>0</v>
      </c>
      <c r="E984" s="327"/>
      <c r="F984" s="654">
        <v>0</v>
      </c>
      <c r="G984" s="655"/>
      <c r="H984" s="332">
        <f t="shared" si="93"/>
        <v>0</v>
      </c>
      <c r="J984" s="676"/>
      <c r="K984" s="677"/>
      <c r="L984" s="345"/>
      <c r="M984" s="2"/>
      <c r="N984" s="2"/>
      <c r="O984" s="2"/>
      <c r="P984" s="2"/>
      <c r="Q984" s="2"/>
      <c r="R984" s="2"/>
      <c r="S984" s="2"/>
      <c r="T984" s="2"/>
      <c r="U984" s="2"/>
      <c r="V984" s="2"/>
      <c r="W984" s="2"/>
      <c r="X984" s="2"/>
      <c r="Y984" s="2"/>
      <c r="Z984" s="2"/>
      <c r="AA984" s="2"/>
      <c r="AB984" s="2"/>
      <c r="AC984" s="2"/>
      <c r="AD984" s="2"/>
      <c r="AE984" s="2"/>
      <c r="AF984" s="2"/>
      <c r="AG984" s="2"/>
      <c r="AH984" s="2"/>
      <c r="AI984" s="2"/>
      <c r="AJ984" s="2"/>
      <c r="AK984" s="2"/>
    </row>
    <row r="985" spans="2:37">
      <c r="B985" s="45" t="s">
        <v>54</v>
      </c>
      <c r="C985" s="340"/>
      <c r="D985" s="341">
        <v>0</v>
      </c>
      <c r="E985" s="327"/>
      <c r="F985" s="652">
        <v>0</v>
      </c>
      <c r="G985" s="653"/>
      <c r="H985" s="330">
        <f t="shared" si="93"/>
        <v>0</v>
      </c>
      <c r="J985" s="652">
        <v>0</v>
      </c>
      <c r="K985" s="653"/>
      <c r="L985" s="330">
        <f>IF(F985=0,0,((J985-F985)/F985))</f>
        <v>0</v>
      </c>
      <c r="M985" s="2"/>
      <c r="N985" s="2"/>
      <c r="O985" s="2"/>
      <c r="P985" s="2"/>
      <c r="Q985" s="2"/>
      <c r="R985" s="2"/>
      <c r="S985" s="2"/>
      <c r="T985" s="2"/>
      <c r="U985" s="2"/>
      <c r="V985" s="2"/>
      <c r="W985" s="2"/>
      <c r="X985" s="2"/>
      <c r="Y985" s="2"/>
      <c r="Z985" s="2"/>
      <c r="AA985" s="2"/>
      <c r="AB985" s="2"/>
      <c r="AC985" s="2"/>
      <c r="AD985" s="2"/>
      <c r="AE985" s="2"/>
      <c r="AF985" s="2"/>
      <c r="AG985" s="2"/>
      <c r="AH985" s="2"/>
      <c r="AI985" s="2"/>
      <c r="AJ985" s="2"/>
      <c r="AK985" s="2"/>
    </row>
    <row r="986" spans="2:37">
      <c r="B986" s="342" t="s">
        <v>55</v>
      </c>
      <c r="C986" s="343"/>
      <c r="D986" s="346">
        <f>[1]C053!$C$226</f>
        <v>0</v>
      </c>
      <c r="E986" s="327"/>
      <c r="F986" s="656">
        <f>[1]C053!$D$226</f>
        <v>0</v>
      </c>
      <c r="G986" s="655"/>
      <c r="H986" s="332">
        <f t="shared" si="93"/>
        <v>0</v>
      </c>
      <c r="J986" s="678"/>
      <c r="K986" s="679"/>
      <c r="L986" s="347"/>
      <c r="M986" s="2"/>
      <c r="N986" s="2"/>
      <c r="O986" s="2"/>
      <c r="P986" s="2"/>
      <c r="Q986" s="2"/>
      <c r="R986" s="2"/>
      <c r="S986" s="2"/>
      <c r="T986" s="2"/>
      <c r="U986" s="2"/>
      <c r="V986" s="2"/>
      <c r="W986" s="2"/>
      <c r="X986" s="2"/>
      <c r="Y986" s="2"/>
      <c r="Z986" s="2"/>
      <c r="AA986" s="2"/>
      <c r="AB986" s="2"/>
      <c r="AC986" s="2"/>
      <c r="AD986" s="2"/>
      <c r="AE986" s="2"/>
      <c r="AF986" s="2"/>
      <c r="AG986" s="2"/>
      <c r="AH986" s="2"/>
      <c r="AI986" s="2"/>
      <c r="AJ986" s="2"/>
      <c r="AK986" s="2"/>
    </row>
    <row r="987" spans="2:37">
      <c r="B987" s="45" t="s">
        <v>56</v>
      </c>
      <c r="C987" s="340">
        <v>54</v>
      </c>
      <c r="D987" s="341">
        <v>0</v>
      </c>
      <c r="E987" s="327"/>
      <c r="F987" s="652">
        <v>0</v>
      </c>
      <c r="G987" s="653"/>
      <c r="H987" s="330">
        <f t="shared" si="93"/>
        <v>0</v>
      </c>
      <c r="J987" s="680"/>
      <c r="K987" s="681"/>
      <c r="L987" s="348"/>
      <c r="M987" s="2"/>
      <c r="N987" s="2"/>
      <c r="O987" s="2"/>
      <c r="P987" s="2"/>
      <c r="Q987" s="2"/>
      <c r="R987" s="2"/>
      <c r="S987" s="2"/>
      <c r="T987" s="2"/>
      <c r="U987" s="2"/>
      <c r="V987" s="2"/>
      <c r="W987" s="2"/>
      <c r="X987" s="2"/>
      <c r="Y987" s="2"/>
      <c r="Z987" s="2"/>
      <c r="AA987" s="2"/>
      <c r="AB987" s="2"/>
      <c r="AC987" s="2"/>
      <c r="AD987" s="2"/>
      <c r="AE987" s="2"/>
      <c r="AF987" s="2"/>
      <c r="AG987" s="2"/>
      <c r="AH987" s="2"/>
      <c r="AI987" s="2"/>
      <c r="AJ987" s="2"/>
      <c r="AK987" s="2"/>
    </row>
    <row r="988" spans="2:37">
      <c r="B988" s="342" t="s">
        <v>57</v>
      </c>
      <c r="C988" s="343"/>
      <c r="D988" s="344">
        <v>0</v>
      </c>
      <c r="E988" s="327"/>
      <c r="F988" s="654">
        <v>0</v>
      </c>
      <c r="G988" s="655"/>
      <c r="H988" s="332">
        <f t="shared" si="93"/>
        <v>0</v>
      </c>
      <c r="J988" s="682"/>
      <c r="K988" s="683"/>
      <c r="L988" s="349"/>
      <c r="M988" s="2"/>
      <c r="N988" s="2"/>
      <c r="O988" s="2"/>
      <c r="P988" s="2"/>
      <c r="Q988" s="2"/>
      <c r="R988" s="2"/>
      <c r="S988" s="2"/>
      <c r="T988" s="2"/>
      <c r="U988" s="2"/>
      <c r="V988" s="2"/>
      <c r="W988" s="2"/>
      <c r="X988" s="2"/>
      <c r="Y988" s="2"/>
      <c r="Z988" s="2"/>
      <c r="AA988" s="2"/>
      <c r="AB988" s="2"/>
      <c r="AC988" s="2"/>
      <c r="AD988" s="2"/>
      <c r="AE988" s="2"/>
      <c r="AF988" s="2"/>
      <c r="AG988" s="2"/>
      <c r="AH988" s="2"/>
      <c r="AI988" s="2"/>
      <c r="AJ988" s="2"/>
      <c r="AK988" s="2"/>
    </row>
    <row r="989" spans="2:37">
      <c r="B989" s="350" t="str">
        <f>B1118</f>
        <v>Bond and Interest #1</v>
      </c>
      <c r="C989" s="340">
        <v>62</v>
      </c>
      <c r="D989" s="341">
        <v>0</v>
      </c>
      <c r="E989" s="327"/>
      <c r="F989" s="652">
        <v>0</v>
      </c>
      <c r="G989" s="653"/>
      <c r="H989" s="330">
        <f t="shared" si="93"/>
        <v>0</v>
      </c>
      <c r="J989" s="652">
        <v>0</v>
      </c>
      <c r="K989" s="653"/>
      <c r="L989" s="330">
        <f t="shared" ref="L989:L1000" si="95">IF(F989=0,0,((J989-F989)/F989))</f>
        <v>0</v>
      </c>
      <c r="M989" s="2"/>
      <c r="N989" s="2"/>
      <c r="O989" s="2"/>
      <c r="P989" s="2"/>
      <c r="Q989" s="2"/>
      <c r="R989" s="2"/>
      <c r="S989" s="2"/>
      <c r="T989" s="2"/>
      <c r="U989" s="2"/>
      <c r="V989" s="2"/>
      <c r="W989" s="2"/>
      <c r="X989" s="2"/>
      <c r="Y989" s="2"/>
      <c r="Z989" s="2"/>
      <c r="AA989" s="2"/>
      <c r="AB989" s="2"/>
      <c r="AC989" s="2"/>
      <c r="AD989" s="2"/>
      <c r="AE989" s="2"/>
      <c r="AF989" s="2"/>
      <c r="AG989" s="2"/>
      <c r="AH989" s="2"/>
      <c r="AI989" s="2"/>
      <c r="AJ989" s="2"/>
      <c r="AK989" s="2"/>
    </row>
    <row r="990" spans="2:37">
      <c r="B990" s="351" t="str">
        <f>B1119</f>
        <v>Bond and Interest #2</v>
      </c>
      <c r="C990" s="343">
        <v>63</v>
      </c>
      <c r="D990" s="344">
        <v>0</v>
      </c>
      <c r="E990" s="327"/>
      <c r="F990" s="654">
        <v>0</v>
      </c>
      <c r="G990" s="655"/>
      <c r="H990" s="332">
        <f t="shared" si="93"/>
        <v>0</v>
      </c>
      <c r="J990" s="654">
        <v>0</v>
      </c>
      <c r="K990" s="655"/>
      <c r="L990" s="332">
        <f t="shared" si="95"/>
        <v>0</v>
      </c>
      <c r="M990" s="2"/>
      <c r="N990" s="2"/>
      <c r="O990" s="2"/>
      <c r="P990" s="2"/>
      <c r="Q990" s="2"/>
      <c r="R990" s="2"/>
      <c r="S990" s="2"/>
      <c r="T990" s="2"/>
      <c r="U990" s="2"/>
      <c r="V990" s="2"/>
      <c r="W990" s="2"/>
      <c r="X990" s="2"/>
      <c r="Y990" s="2"/>
      <c r="Z990" s="2"/>
      <c r="AA990" s="2"/>
      <c r="AB990" s="2"/>
      <c r="AC990" s="2"/>
      <c r="AD990" s="2"/>
      <c r="AE990" s="2"/>
      <c r="AF990" s="2"/>
      <c r="AG990" s="2"/>
      <c r="AH990" s="2"/>
      <c r="AI990" s="2"/>
      <c r="AJ990" s="2"/>
      <c r="AK990" s="2"/>
    </row>
    <row r="991" spans="2:37">
      <c r="B991" s="45" t="s">
        <v>58</v>
      </c>
      <c r="C991" s="340">
        <v>66</v>
      </c>
      <c r="D991" s="341">
        <v>0</v>
      </c>
      <c r="E991" s="327"/>
      <c r="F991" s="652">
        <v>0</v>
      </c>
      <c r="G991" s="653"/>
      <c r="H991" s="330">
        <f t="shared" si="93"/>
        <v>0</v>
      </c>
      <c r="J991" s="652">
        <v>0</v>
      </c>
      <c r="K991" s="653"/>
      <c r="L991" s="330">
        <f t="shared" si="95"/>
        <v>0</v>
      </c>
      <c r="M991" s="2"/>
      <c r="N991" s="2"/>
      <c r="O991" s="2"/>
      <c r="P991" s="2"/>
      <c r="Q991" s="2"/>
      <c r="R991" s="2"/>
      <c r="S991" s="2"/>
      <c r="T991" s="2"/>
      <c r="U991" s="2"/>
      <c r="V991" s="2"/>
      <c r="W991" s="2"/>
      <c r="X991" s="2"/>
      <c r="Y991" s="2"/>
      <c r="Z991" s="2"/>
      <c r="AA991" s="2"/>
      <c r="AB991" s="2"/>
      <c r="AC991" s="2"/>
      <c r="AD991" s="2"/>
      <c r="AE991" s="2"/>
      <c r="AF991" s="2"/>
      <c r="AG991" s="2"/>
      <c r="AH991" s="2"/>
      <c r="AI991" s="2"/>
      <c r="AJ991" s="2"/>
      <c r="AK991" s="2"/>
    </row>
    <row r="992" spans="2:37">
      <c r="B992" s="342" t="s">
        <v>59</v>
      </c>
      <c r="C992" s="343">
        <v>67</v>
      </c>
      <c r="D992" s="344">
        <v>0</v>
      </c>
      <c r="E992" s="327"/>
      <c r="F992" s="654">
        <v>0</v>
      </c>
      <c r="G992" s="655"/>
      <c r="H992" s="332">
        <f t="shared" si="93"/>
        <v>0</v>
      </c>
      <c r="J992" s="654">
        <v>0</v>
      </c>
      <c r="K992" s="655"/>
      <c r="L992" s="332">
        <f t="shared" si="95"/>
        <v>0</v>
      </c>
      <c r="M992" s="2"/>
      <c r="N992" s="2"/>
      <c r="O992" s="2"/>
      <c r="P992" s="2"/>
      <c r="Q992" s="2"/>
      <c r="R992" s="2"/>
      <c r="S992" s="2"/>
      <c r="T992" s="2"/>
      <c r="U992" s="2"/>
      <c r="V992" s="2"/>
      <c r="W992" s="2"/>
      <c r="X992" s="2"/>
      <c r="Y992" s="2"/>
      <c r="Z992" s="2"/>
      <c r="AA992" s="2"/>
      <c r="AB992" s="2"/>
      <c r="AC992" s="2"/>
      <c r="AD992" s="2"/>
      <c r="AE992" s="2"/>
      <c r="AF992" s="2"/>
      <c r="AG992" s="2"/>
      <c r="AH992" s="2"/>
      <c r="AI992" s="2"/>
      <c r="AJ992" s="2"/>
      <c r="AK992" s="2"/>
    </row>
    <row r="993" spans="2:37" ht="15" thickBot="1">
      <c r="B993" s="45" t="s">
        <v>60</v>
      </c>
      <c r="C993" s="340">
        <v>68</v>
      </c>
      <c r="D993" s="341">
        <v>0</v>
      </c>
      <c r="E993" s="327"/>
      <c r="F993" s="669">
        <v>0</v>
      </c>
      <c r="G993" s="670"/>
      <c r="H993" s="247">
        <f t="shared" si="93"/>
        <v>0</v>
      </c>
      <c r="J993" s="669">
        <v>0</v>
      </c>
      <c r="K993" s="670"/>
      <c r="L993" s="247">
        <f t="shared" si="95"/>
        <v>0</v>
      </c>
      <c r="M993" s="2"/>
      <c r="N993" s="2"/>
      <c r="S993" s="2"/>
      <c r="T993" s="2"/>
      <c r="U993" s="2"/>
      <c r="V993" s="2"/>
      <c r="W993" s="2"/>
      <c r="X993" s="2"/>
      <c r="Y993" s="2"/>
      <c r="Z993" s="2"/>
      <c r="AA993" s="2"/>
      <c r="AB993" s="2"/>
      <c r="AC993" s="2"/>
      <c r="AD993" s="2"/>
      <c r="AE993" s="2"/>
      <c r="AF993" s="2"/>
      <c r="AG993" s="2"/>
      <c r="AH993" s="2"/>
      <c r="AI993" s="2"/>
      <c r="AJ993" s="2"/>
      <c r="AK993" s="2"/>
    </row>
    <row r="994" spans="2:37" ht="15" thickTop="1">
      <c r="B994" s="353" t="s">
        <v>61</v>
      </c>
      <c r="C994" s="353"/>
      <c r="D994" s="371">
        <f>SUM(D962:D993)</f>
        <v>0</v>
      </c>
      <c r="E994" s="327"/>
      <c r="F994" s="667">
        <f>SUM(F962:G993)</f>
        <v>0</v>
      </c>
      <c r="G994" s="668"/>
      <c r="H994" s="372">
        <f t="shared" si="93"/>
        <v>0</v>
      </c>
      <c r="J994" s="667">
        <f>SUM(J962:K993)</f>
        <v>0</v>
      </c>
      <c r="K994" s="668"/>
      <c r="L994" s="372">
        <f t="shared" si="95"/>
        <v>0</v>
      </c>
      <c r="M994" s="2"/>
      <c r="N994" s="2"/>
      <c r="S994" s="2"/>
      <c r="T994" s="2"/>
      <c r="U994" s="2"/>
      <c r="V994" s="2"/>
      <c r="W994" s="2"/>
      <c r="X994" s="2"/>
      <c r="Y994" s="2"/>
      <c r="Z994" s="2"/>
      <c r="AA994" s="2"/>
      <c r="AB994" s="2"/>
      <c r="AC994" s="2"/>
      <c r="AD994" s="2"/>
      <c r="AE994" s="2"/>
      <c r="AF994" s="2"/>
      <c r="AG994" s="2"/>
      <c r="AH994" s="2"/>
      <c r="AI994" s="2"/>
      <c r="AJ994" s="2"/>
      <c r="AK994" s="2"/>
    </row>
    <row r="995" spans="2:37" ht="15.75">
      <c r="B995" s="45" t="s">
        <v>181</v>
      </c>
      <c r="C995" s="45"/>
      <c r="D995" s="356">
        <f>G1312</f>
        <v>70.7</v>
      </c>
      <c r="E995" s="327"/>
      <c r="F995" s="665">
        <f>I1312</f>
        <v>82.5</v>
      </c>
      <c r="G995" s="666"/>
      <c r="H995" s="247">
        <f t="shared" si="93"/>
        <v>0.17</v>
      </c>
      <c r="J995" s="665">
        <f>K1312</f>
        <v>70</v>
      </c>
      <c r="K995" s="666"/>
      <c r="L995" s="247">
        <f t="shared" si="95"/>
        <v>-0.15</v>
      </c>
      <c r="M995" s="2"/>
      <c r="N995" s="2"/>
      <c r="O995" s="2"/>
      <c r="P995" s="2"/>
      <c r="Q995" s="2"/>
      <c r="R995" s="2"/>
      <c r="S995" s="2"/>
      <c r="T995" s="2"/>
      <c r="U995" s="2"/>
      <c r="V995" s="2"/>
      <c r="W995" s="2"/>
      <c r="X995" s="2"/>
      <c r="Y995" s="2"/>
      <c r="Z995" s="2"/>
      <c r="AA995" s="2"/>
      <c r="AB995" s="2"/>
      <c r="AC995" s="2"/>
      <c r="AD995" s="2"/>
      <c r="AE995" s="2"/>
      <c r="AF995" s="2"/>
      <c r="AG995" s="2"/>
      <c r="AH995" s="2"/>
      <c r="AI995" s="2"/>
      <c r="AJ995" s="2"/>
      <c r="AK995" s="2"/>
    </row>
    <row r="996" spans="2:37" ht="16.5" thickBot="1">
      <c r="B996" s="342" t="s">
        <v>182</v>
      </c>
      <c r="C996" s="342"/>
      <c r="D996" s="346">
        <f>IF(D994=0,0,D994/D995)</f>
        <v>0</v>
      </c>
      <c r="E996" s="327"/>
      <c r="F996" s="663">
        <f>IF(F994=0,0,F994/F995)</f>
        <v>0</v>
      </c>
      <c r="G996" s="664"/>
      <c r="H996" s="357">
        <f t="shared" si="93"/>
        <v>0</v>
      </c>
      <c r="J996" s="663">
        <f>IF(J994=0,0,J994/J995)</f>
        <v>0</v>
      </c>
      <c r="K996" s="664"/>
      <c r="L996" s="357">
        <f t="shared" si="95"/>
        <v>0</v>
      </c>
      <c r="M996" s="2"/>
      <c r="N996" s="2"/>
      <c r="O996" s="2"/>
      <c r="P996" s="2"/>
      <c r="Q996" s="2"/>
      <c r="R996" s="2"/>
      <c r="S996" s="2"/>
      <c r="T996" s="2"/>
      <c r="U996" s="2"/>
      <c r="V996" s="2"/>
      <c r="W996" s="2"/>
      <c r="X996" s="2"/>
      <c r="Y996" s="2"/>
      <c r="Z996" s="2"/>
      <c r="AA996" s="2"/>
      <c r="AB996" s="2"/>
      <c r="AC996" s="2"/>
      <c r="AD996" s="2"/>
      <c r="AE996" s="2"/>
      <c r="AF996" s="2"/>
      <c r="AG996" s="2"/>
      <c r="AH996" s="2"/>
      <c r="AI996" s="2"/>
      <c r="AJ996" s="2"/>
      <c r="AK996" s="2"/>
    </row>
    <row r="997" spans="2:37">
      <c r="B997" s="358" t="s">
        <v>63</v>
      </c>
      <c r="C997" s="358"/>
      <c r="D997" s="389">
        <v>0</v>
      </c>
      <c r="E997" s="327"/>
      <c r="F997" s="661">
        <v>0</v>
      </c>
      <c r="G997" s="662"/>
      <c r="H997" s="360">
        <f t="shared" si="93"/>
        <v>0</v>
      </c>
      <c r="J997" s="661">
        <v>0</v>
      </c>
      <c r="K997" s="662"/>
      <c r="L997" s="360">
        <f t="shared" si="95"/>
        <v>0</v>
      </c>
      <c r="M997" s="2"/>
      <c r="N997" s="2"/>
      <c r="O997" s="2"/>
      <c r="P997" s="2"/>
      <c r="Q997" s="2"/>
      <c r="R997" s="2"/>
      <c r="S997" s="2"/>
      <c r="T997" s="2"/>
      <c r="U997" s="2"/>
      <c r="V997" s="2"/>
      <c r="W997" s="2"/>
      <c r="X997" s="2"/>
      <c r="Y997" s="2"/>
      <c r="Z997" s="2"/>
      <c r="AA997" s="2"/>
      <c r="AB997" s="2"/>
      <c r="AC997" s="2"/>
      <c r="AD997" s="2"/>
      <c r="AE997" s="2"/>
      <c r="AF997" s="2"/>
      <c r="AG997" s="2"/>
      <c r="AH997" s="2"/>
      <c r="AI997" s="2"/>
      <c r="AJ997" s="2"/>
      <c r="AK997" s="2"/>
    </row>
    <row r="998" spans="2:37">
      <c r="B998" s="342" t="s">
        <v>64</v>
      </c>
      <c r="C998" s="342"/>
      <c r="D998" s="339">
        <v>0</v>
      </c>
      <c r="E998" s="327"/>
      <c r="F998" s="654">
        <v>0</v>
      </c>
      <c r="G998" s="655"/>
      <c r="H998" s="332">
        <f t="shared" si="93"/>
        <v>0</v>
      </c>
      <c r="J998" s="654">
        <v>0</v>
      </c>
      <c r="K998" s="655"/>
      <c r="L998" s="332">
        <f t="shared" si="95"/>
        <v>0</v>
      </c>
      <c r="M998" s="2"/>
      <c r="N998" s="2"/>
      <c r="S998" s="2"/>
      <c r="T998" s="2"/>
      <c r="U998" s="2"/>
      <c r="V998" s="2"/>
      <c r="W998" s="2"/>
      <c r="X998" s="2"/>
      <c r="Y998" s="2"/>
      <c r="Z998" s="2"/>
      <c r="AA998" s="2"/>
      <c r="AB998" s="2"/>
      <c r="AC998" s="2"/>
      <c r="AD998" s="2"/>
      <c r="AE998" s="2"/>
      <c r="AF998" s="2"/>
      <c r="AG998" s="2"/>
      <c r="AH998" s="2"/>
      <c r="AI998" s="2"/>
      <c r="AJ998" s="2"/>
      <c r="AK998" s="2"/>
    </row>
    <row r="999" spans="2:37" ht="15" thickBot="1">
      <c r="B999" s="361" t="s">
        <v>65</v>
      </c>
      <c r="C999" s="361"/>
      <c r="D999" s="391">
        <v>0</v>
      </c>
      <c r="E999" s="327"/>
      <c r="F999" s="659">
        <v>0</v>
      </c>
      <c r="G999" s="660"/>
      <c r="H999" s="363">
        <f t="shared" si="93"/>
        <v>0</v>
      </c>
      <c r="J999" s="659">
        <v>0</v>
      </c>
      <c r="K999" s="660"/>
      <c r="L999" s="363">
        <f t="shared" si="95"/>
        <v>0</v>
      </c>
      <c r="M999" s="2"/>
      <c r="N999" s="2"/>
      <c r="S999" s="2"/>
      <c r="T999" s="2"/>
      <c r="U999" s="2"/>
      <c r="V999" s="2"/>
      <c r="W999" s="2"/>
      <c r="X999" s="2"/>
      <c r="Y999" s="2"/>
      <c r="Z999" s="2"/>
      <c r="AA999" s="2"/>
      <c r="AB999" s="2"/>
      <c r="AC999" s="2"/>
      <c r="AD999" s="2"/>
      <c r="AE999" s="2"/>
      <c r="AF999" s="2"/>
      <c r="AG999" s="2"/>
      <c r="AH999" s="2"/>
      <c r="AI999" s="2"/>
      <c r="AJ999" s="2"/>
      <c r="AK999" s="2"/>
    </row>
    <row r="1000" spans="2:37" ht="15" thickTop="1">
      <c r="B1000" s="365" t="s">
        <v>66</v>
      </c>
      <c r="C1000" s="365"/>
      <c r="D1000" s="373">
        <f>SUM(D997:D999,D994)</f>
        <v>0</v>
      </c>
      <c r="E1000" s="327"/>
      <c r="F1000" s="657">
        <f>SUM(F997:G999,F994)</f>
        <v>0</v>
      </c>
      <c r="G1000" s="658"/>
      <c r="H1000" s="374">
        <f t="shared" si="93"/>
        <v>0</v>
      </c>
      <c r="J1000" s="657">
        <f>SUM(J997:K999,J994)</f>
        <v>0</v>
      </c>
      <c r="K1000" s="658"/>
      <c r="L1000" s="374">
        <f t="shared" si="95"/>
        <v>0</v>
      </c>
      <c r="M1000" s="2"/>
      <c r="N1000" s="2"/>
      <c r="S1000" s="2"/>
      <c r="T1000" s="2"/>
      <c r="U1000" s="2"/>
      <c r="V1000" s="2"/>
      <c r="W1000" s="2"/>
      <c r="X1000" s="2"/>
      <c r="Y1000" s="2"/>
      <c r="Z1000" s="2"/>
      <c r="AA1000" s="2"/>
      <c r="AB1000" s="2"/>
      <c r="AC1000" s="2"/>
      <c r="AD1000" s="2"/>
      <c r="AE1000" s="2"/>
      <c r="AF1000" s="2"/>
      <c r="AG1000" s="2"/>
      <c r="AH1000" s="2"/>
      <c r="AI1000" s="2"/>
      <c r="AJ1000" s="2"/>
      <c r="AK1000" s="2"/>
    </row>
    <row r="1001" spans="2:37" ht="6.75" customHeight="1">
      <c r="B1001" s="2"/>
      <c r="C1001" s="2"/>
      <c r="D1001" s="159"/>
      <c r="E1001" s="2"/>
      <c r="F1001" s="159"/>
      <c r="G1001" s="201"/>
      <c r="H1001" s="2"/>
      <c r="I1001" s="159"/>
      <c r="J1001" s="201"/>
      <c r="K1001" s="2"/>
      <c r="L1001" s="2"/>
      <c r="M1001" s="2"/>
      <c r="N1001" s="2"/>
      <c r="O1001" s="2"/>
      <c r="P1001" s="2"/>
      <c r="Q1001" s="2"/>
      <c r="R1001" s="2"/>
      <c r="S1001" s="2"/>
      <c r="T1001" s="2"/>
      <c r="U1001" s="2"/>
      <c r="V1001" s="2"/>
      <c r="W1001" s="2"/>
      <c r="X1001" s="2"/>
      <c r="Y1001" s="2"/>
      <c r="Z1001" s="2"/>
      <c r="AA1001" s="2"/>
      <c r="AB1001" s="2"/>
      <c r="AC1001" s="2"/>
      <c r="AD1001" s="2"/>
      <c r="AE1001" s="2"/>
      <c r="AF1001" s="2"/>
      <c r="AG1001" s="2"/>
      <c r="AH1001" s="2"/>
      <c r="AI1001" s="2"/>
      <c r="AJ1001" s="2"/>
      <c r="AK1001" s="2"/>
    </row>
    <row r="1002" spans="2:37">
      <c r="B1002" s="650"/>
      <c r="C1002" s="650"/>
      <c r="D1002" s="650"/>
      <c r="E1002" s="650"/>
      <c r="F1002" s="650"/>
      <c r="G1002" s="650"/>
      <c r="H1002" s="650"/>
      <c r="I1002" s="650"/>
      <c r="J1002" s="650"/>
      <c r="K1002" s="650"/>
      <c r="L1002" s="650"/>
      <c r="M1002" s="2"/>
      <c r="N1002" s="2"/>
      <c r="O1002" s="2"/>
      <c r="P1002" s="2"/>
      <c r="Q1002" s="2"/>
      <c r="R1002" s="2"/>
      <c r="S1002" s="2"/>
      <c r="T1002" s="2"/>
      <c r="U1002" s="2"/>
      <c r="V1002" s="2"/>
      <c r="W1002" s="2"/>
      <c r="X1002" s="2"/>
      <c r="Y1002" s="2"/>
      <c r="Z1002" s="2"/>
      <c r="AA1002" s="2"/>
      <c r="AB1002" s="2"/>
      <c r="AC1002" s="2"/>
      <c r="AD1002" s="2"/>
      <c r="AE1002" s="2"/>
      <c r="AF1002" s="2"/>
      <c r="AG1002" s="2"/>
      <c r="AH1002" s="2"/>
      <c r="AI1002" s="2"/>
      <c r="AJ1002" s="2"/>
      <c r="AK1002" s="2"/>
    </row>
    <row r="1003" spans="2:37">
      <c r="B1003" s="650"/>
      <c r="C1003" s="650"/>
      <c r="D1003" s="650"/>
      <c r="E1003" s="650"/>
      <c r="F1003" s="650"/>
      <c r="G1003" s="650"/>
      <c r="H1003" s="650"/>
      <c r="I1003" s="650"/>
      <c r="J1003" s="650"/>
      <c r="K1003" s="650"/>
      <c r="L1003" s="650"/>
      <c r="M1003" s="2"/>
      <c r="N1003" s="2"/>
      <c r="O1003" s="2"/>
      <c r="P1003" s="2"/>
      <c r="Q1003" s="2"/>
      <c r="R1003" s="2"/>
      <c r="S1003" s="2"/>
      <c r="T1003" s="2"/>
      <c r="U1003" s="2"/>
      <c r="V1003" s="2"/>
      <c r="W1003" s="2"/>
      <c r="X1003" s="2"/>
      <c r="Y1003" s="2"/>
      <c r="Z1003" s="2"/>
      <c r="AA1003" s="2"/>
      <c r="AB1003" s="2"/>
      <c r="AC1003" s="2"/>
      <c r="AD1003" s="2"/>
      <c r="AE1003" s="2"/>
      <c r="AF1003" s="2"/>
      <c r="AG1003" s="2"/>
      <c r="AH1003" s="2"/>
      <c r="AI1003" s="2"/>
      <c r="AJ1003" s="2"/>
      <c r="AK1003" s="2"/>
    </row>
    <row r="1004" spans="2:37">
      <c r="B1004" s="650"/>
      <c r="C1004" s="650"/>
      <c r="D1004" s="650"/>
      <c r="E1004" s="650"/>
      <c r="F1004" s="650"/>
      <c r="G1004" s="650"/>
      <c r="H1004" s="650"/>
      <c r="I1004" s="650"/>
      <c r="J1004" s="650"/>
      <c r="K1004" s="650"/>
      <c r="L1004" s="650"/>
      <c r="M1004" s="2"/>
      <c r="N1004" s="2"/>
      <c r="O1004" s="2"/>
      <c r="P1004" s="2"/>
      <c r="Q1004" s="2"/>
      <c r="R1004" s="2"/>
      <c r="S1004" s="2"/>
      <c r="T1004" s="2"/>
      <c r="U1004" s="2"/>
      <c r="V1004" s="2"/>
      <c r="W1004" s="2"/>
      <c r="X1004" s="2"/>
      <c r="Y1004" s="2"/>
      <c r="Z1004" s="2"/>
      <c r="AA1004" s="2"/>
      <c r="AB1004" s="2"/>
      <c r="AC1004" s="2"/>
      <c r="AD1004" s="2"/>
      <c r="AE1004" s="2"/>
      <c r="AF1004" s="2"/>
      <c r="AG1004" s="2"/>
      <c r="AH1004" s="2"/>
      <c r="AI1004" s="2"/>
      <c r="AJ1004" s="2"/>
      <c r="AK1004" s="2"/>
    </row>
    <row r="1005" spans="2:37">
      <c r="B1005" s="208"/>
      <c r="C1005" s="2"/>
      <c r="D1005" s="159"/>
      <c r="E1005" s="2"/>
      <c r="F1005" s="159"/>
      <c r="G1005" s="201"/>
      <c r="H1005" s="2"/>
      <c r="I1005" s="159"/>
      <c r="J1005" s="201"/>
      <c r="K1005" s="2"/>
      <c r="L1005" s="2"/>
      <c r="M1005" s="2"/>
      <c r="N1005" s="2"/>
      <c r="O1005" s="2"/>
      <c r="P1005" s="2"/>
      <c r="Q1005" s="2"/>
      <c r="R1005" s="2"/>
      <c r="S1005" s="2"/>
      <c r="T1005" s="2"/>
      <c r="U1005" s="2"/>
      <c r="V1005" s="2"/>
      <c r="W1005" s="2"/>
      <c r="X1005" s="2"/>
      <c r="Y1005" s="2"/>
      <c r="Z1005" s="2"/>
      <c r="AA1005" s="2"/>
      <c r="AB1005" s="2"/>
      <c r="AC1005" s="2"/>
      <c r="AD1005" s="2"/>
      <c r="AE1005" s="2"/>
      <c r="AF1005" s="2"/>
      <c r="AG1005" s="2"/>
      <c r="AH1005" s="2"/>
      <c r="AI1005" s="2"/>
      <c r="AJ1005" s="2"/>
      <c r="AK1005" s="2"/>
    </row>
    <row r="1006" spans="2:37">
      <c r="B1006" s="2"/>
      <c r="C1006" s="2"/>
      <c r="D1006" s="159"/>
      <c r="E1006" s="2"/>
      <c r="F1006" s="159"/>
      <c r="G1006" s="201"/>
      <c r="H1006" s="2"/>
      <c r="I1006" s="159"/>
      <c r="J1006" s="201"/>
      <c r="K1006" s="2"/>
      <c r="L1006" s="2"/>
      <c r="M1006" s="2"/>
      <c r="N1006" s="2"/>
      <c r="O1006" s="2"/>
      <c r="P1006" s="2"/>
      <c r="Q1006" s="2"/>
      <c r="R1006" s="2"/>
      <c r="S1006" s="2"/>
      <c r="T1006" s="2"/>
      <c r="U1006" s="2"/>
      <c r="V1006" s="2"/>
      <c r="W1006" s="2"/>
      <c r="X1006" s="2"/>
      <c r="Y1006" s="2"/>
      <c r="Z1006" s="2"/>
      <c r="AA1006" s="2"/>
      <c r="AB1006" s="2"/>
      <c r="AC1006" s="2"/>
      <c r="AD1006" s="2"/>
      <c r="AE1006" s="2"/>
      <c r="AF1006" s="2"/>
      <c r="AG1006" s="2"/>
      <c r="AH1006" s="2"/>
      <c r="AI1006" s="2"/>
      <c r="AJ1006" s="2"/>
      <c r="AK1006" s="2"/>
    </row>
    <row r="1007" spans="2:37">
      <c r="C1007" s="2"/>
      <c r="D1007" s="159"/>
      <c r="E1007" s="2"/>
      <c r="F1007" s="159"/>
      <c r="G1007" s="201"/>
      <c r="H1007" s="2"/>
      <c r="I1007" s="159"/>
      <c r="J1007" s="201"/>
      <c r="K1007" s="2"/>
      <c r="L1007" s="2"/>
      <c r="M1007" s="2"/>
      <c r="N1007" s="2"/>
      <c r="O1007" s="2"/>
      <c r="P1007" s="2"/>
      <c r="Q1007" s="2"/>
      <c r="R1007" s="2"/>
      <c r="S1007" s="2"/>
      <c r="T1007" s="2"/>
      <c r="U1007" s="2"/>
      <c r="V1007" s="2"/>
      <c r="W1007" s="2"/>
      <c r="X1007" s="2"/>
      <c r="Y1007" s="2"/>
      <c r="Z1007" s="2"/>
      <c r="AA1007" s="2"/>
      <c r="AB1007" s="2"/>
      <c r="AC1007" s="2"/>
      <c r="AD1007" s="2"/>
      <c r="AE1007" s="2"/>
      <c r="AF1007" s="2"/>
      <c r="AG1007" s="2"/>
      <c r="AH1007" s="2"/>
      <c r="AI1007" s="2"/>
      <c r="AJ1007" s="2"/>
      <c r="AK1007" s="2"/>
    </row>
    <row r="1008" spans="2:37">
      <c r="C1008" s="2"/>
      <c r="D1008" s="159"/>
      <c r="E1008" s="2"/>
      <c r="F1008" s="159"/>
      <c r="G1008" s="201"/>
      <c r="H1008" s="2"/>
      <c r="I1008" s="159"/>
      <c r="J1008" s="201"/>
      <c r="K1008" s="2"/>
      <c r="L1008" s="2"/>
      <c r="M1008" s="2"/>
      <c r="N1008" s="2"/>
      <c r="O1008" s="2"/>
      <c r="P1008" s="2"/>
      <c r="Q1008" s="2"/>
      <c r="R1008" s="2"/>
      <c r="S1008" s="2"/>
      <c r="T1008" s="2"/>
      <c r="U1008" s="2"/>
      <c r="V1008" s="2"/>
      <c r="W1008" s="2"/>
      <c r="X1008" s="2"/>
      <c r="Y1008" s="2"/>
      <c r="Z1008" s="2"/>
      <c r="AA1008" s="2"/>
      <c r="AB1008" s="2"/>
      <c r="AC1008" s="2"/>
      <c r="AD1008" s="2"/>
      <c r="AE1008" s="2"/>
      <c r="AF1008" s="2"/>
      <c r="AG1008" s="2"/>
      <c r="AH1008" s="2"/>
      <c r="AI1008" s="2"/>
      <c r="AJ1008" s="2"/>
      <c r="AK1008" s="2"/>
    </row>
    <row r="1009" spans="2:37">
      <c r="C1009" s="2"/>
      <c r="D1009" s="159"/>
      <c r="E1009" s="2"/>
      <c r="F1009" s="159"/>
      <c r="G1009" s="201"/>
      <c r="H1009" s="2"/>
      <c r="I1009" s="159"/>
      <c r="J1009" s="201"/>
      <c r="K1009" s="2"/>
      <c r="L1009" s="2"/>
      <c r="M1009" s="2"/>
      <c r="N1009" s="2"/>
      <c r="O1009" s="2"/>
      <c r="P1009" s="2"/>
      <c r="Q1009" s="2"/>
      <c r="R1009" s="2"/>
      <c r="S1009" s="2"/>
      <c r="T1009" s="2"/>
      <c r="U1009" s="2"/>
      <c r="V1009" s="2"/>
      <c r="W1009" s="2"/>
      <c r="X1009" s="2"/>
      <c r="Y1009" s="2"/>
      <c r="Z1009" s="2"/>
      <c r="AA1009" s="2"/>
      <c r="AB1009" s="2"/>
      <c r="AC1009" s="2"/>
      <c r="AD1009" s="2"/>
      <c r="AE1009" s="2"/>
      <c r="AF1009" s="2"/>
      <c r="AG1009" s="2"/>
      <c r="AH1009" s="2"/>
      <c r="AI1009" s="2"/>
      <c r="AJ1009" s="2"/>
      <c r="AK1009" s="2"/>
    </row>
    <row r="1010" spans="2:37">
      <c r="C1010" s="2"/>
      <c r="D1010" s="159"/>
      <c r="E1010" s="2"/>
      <c r="F1010" s="159"/>
      <c r="G1010" s="201"/>
      <c r="H1010" s="2"/>
      <c r="I1010" s="159"/>
      <c r="J1010" s="201"/>
      <c r="K1010" s="2"/>
      <c r="L1010" s="2"/>
      <c r="M1010" s="2"/>
      <c r="N1010" s="2"/>
      <c r="O1010" s="2"/>
      <c r="P1010" s="2"/>
      <c r="Q1010" s="2"/>
      <c r="R1010" s="2"/>
      <c r="S1010" s="2"/>
      <c r="T1010" s="2"/>
      <c r="U1010" s="2"/>
      <c r="V1010" s="2"/>
      <c r="W1010" s="2"/>
      <c r="X1010" s="2"/>
      <c r="Y1010" s="2"/>
      <c r="Z1010" s="2"/>
      <c r="AA1010" s="2"/>
      <c r="AB1010" s="2"/>
      <c r="AC1010" s="2"/>
      <c r="AD1010" s="2"/>
      <c r="AE1010" s="2"/>
      <c r="AF1010" s="2"/>
      <c r="AG1010" s="2"/>
      <c r="AH1010" s="2"/>
      <c r="AI1010" s="2"/>
      <c r="AJ1010" s="2"/>
      <c r="AK1010" s="2"/>
    </row>
    <row r="1011" spans="2:37">
      <c r="C1011" s="2"/>
      <c r="D1011" s="159"/>
      <c r="E1011" s="2"/>
      <c r="F1011" s="159"/>
      <c r="G1011" s="201"/>
      <c r="H1011" s="2"/>
      <c r="I1011" s="159"/>
      <c r="J1011" s="201"/>
      <c r="K1011" s="2"/>
      <c r="L1011" s="2"/>
      <c r="M1011" s="2"/>
      <c r="N1011" s="2"/>
      <c r="O1011" s="2"/>
      <c r="P1011" s="140" t="str">
        <f>$B$958</f>
        <v>Community Service Operations Expenditures (3300)</v>
      </c>
      <c r="Q1011" s="2"/>
      <c r="R1011" s="2"/>
      <c r="S1011" s="2"/>
      <c r="T1011" s="2"/>
      <c r="U1011" s="2"/>
      <c r="V1011" s="2"/>
      <c r="W1011" s="2"/>
      <c r="X1011" s="2"/>
      <c r="Y1011" s="2"/>
      <c r="Z1011" s="2"/>
      <c r="AA1011" s="2"/>
      <c r="AB1011" s="2"/>
      <c r="AC1011" s="2"/>
      <c r="AD1011" s="2"/>
      <c r="AE1011" s="2"/>
      <c r="AF1011" s="2"/>
      <c r="AG1011" s="2"/>
      <c r="AH1011" s="2"/>
      <c r="AI1011" s="2"/>
      <c r="AJ1011" s="2"/>
      <c r="AK1011" s="2"/>
    </row>
    <row r="1012" spans="2:37">
      <c r="C1012" s="2"/>
      <c r="D1012" s="159"/>
      <c r="E1012" s="2"/>
      <c r="F1012" s="159"/>
      <c r="G1012" s="201"/>
      <c r="H1012" s="2"/>
      <c r="I1012" s="159"/>
      <c r="J1012" s="201"/>
      <c r="K1012" s="2"/>
      <c r="L1012" s="2"/>
      <c r="M1012" s="2"/>
      <c r="N1012" s="2"/>
      <c r="O1012" s="2"/>
      <c r="P1012" s="294" t="str">
        <f>D4</f>
        <v>2023-2024</v>
      </c>
      <c r="Q1012" s="294" t="str">
        <f>F4</f>
        <v>2024-2025</v>
      </c>
      <c r="R1012" s="294" t="str">
        <f>I4</f>
        <v>2025-2026</v>
      </c>
      <c r="S1012" s="2"/>
      <c r="T1012" s="2"/>
      <c r="U1012" s="2"/>
      <c r="V1012" s="2"/>
      <c r="W1012" s="2"/>
      <c r="X1012" s="2"/>
      <c r="Y1012" s="2"/>
      <c r="Z1012" s="2"/>
      <c r="AA1012" s="2"/>
      <c r="AB1012" s="2"/>
      <c r="AC1012" s="2"/>
      <c r="AD1012" s="2"/>
      <c r="AE1012" s="2"/>
      <c r="AF1012" s="2"/>
      <c r="AG1012" s="2"/>
      <c r="AH1012" s="2"/>
      <c r="AI1012" s="2"/>
      <c r="AJ1012" s="2"/>
      <c r="AK1012" s="2"/>
    </row>
    <row r="1013" spans="2:37">
      <c r="B1013" s="2"/>
      <c r="C1013" s="2"/>
      <c r="D1013" s="159"/>
      <c r="E1013" s="2"/>
      <c r="F1013" s="159"/>
      <c r="G1013" s="201"/>
      <c r="H1013" s="2"/>
      <c r="I1013" s="159"/>
      <c r="J1013" s="201"/>
      <c r="K1013" s="2"/>
      <c r="L1013" s="2"/>
      <c r="M1013" s="2"/>
      <c r="N1013" s="2"/>
      <c r="O1013" s="140" t="str">
        <f>$B958</f>
        <v>Community Service Operations Expenditures (3300)</v>
      </c>
      <c r="P1013" s="207" t="e">
        <f>IF(AND($D1000&lt;=0,$F1000&lt;=0,$J1000&lt;=0),#N/A,IF($D1000&lt;=0,0,$D1000))</f>
        <v>#N/A</v>
      </c>
      <c r="Q1013" s="207" t="e">
        <f>IF(AND($D1000&lt;=0,$F1000&lt;=0,$J1000&lt;=0),#N/A,IF($F1000&lt;=0,0,$F1000))</f>
        <v>#N/A</v>
      </c>
      <c r="R1013" s="207" t="e">
        <f>IF(AND($D1000&lt;=0,$F1000&lt;=0,$J1000&lt;=0),#N/A,IF($J1000&lt;=0,0,$J1000))</f>
        <v>#N/A</v>
      </c>
      <c r="S1013" s="2"/>
      <c r="T1013" s="2"/>
      <c r="U1013" s="2"/>
      <c r="V1013" s="2"/>
      <c r="W1013" s="2"/>
      <c r="X1013" s="2"/>
      <c r="Y1013" s="2"/>
      <c r="Z1013" s="2"/>
      <c r="AA1013" s="2"/>
      <c r="AB1013" s="2"/>
      <c r="AC1013" s="2"/>
      <c r="AD1013" s="2"/>
      <c r="AE1013" s="2"/>
      <c r="AF1013" s="2"/>
      <c r="AG1013" s="2"/>
      <c r="AH1013" s="2"/>
      <c r="AI1013" s="2"/>
      <c r="AJ1013" s="2"/>
      <c r="AK1013" s="2"/>
    </row>
    <row r="1014" spans="2:37">
      <c r="B1014" s="2"/>
      <c r="C1014" s="2"/>
      <c r="D1014" s="159"/>
      <c r="E1014" s="2"/>
      <c r="F1014" s="159"/>
      <c r="G1014" s="201"/>
      <c r="H1014" s="2"/>
      <c r="I1014" s="159"/>
      <c r="J1014" s="201"/>
      <c r="K1014" s="2"/>
      <c r="L1014" s="2"/>
      <c r="M1014" s="2"/>
      <c r="N1014" s="2"/>
      <c r="O1014" s="2"/>
      <c r="P1014" s="2"/>
      <c r="Q1014" s="2"/>
      <c r="R1014" s="2"/>
      <c r="S1014" s="2"/>
      <c r="T1014" s="2"/>
      <c r="U1014" s="2"/>
      <c r="V1014" s="2"/>
      <c r="W1014" s="2"/>
      <c r="X1014" s="2"/>
      <c r="Y1014" s="2"/>
      <c r="Z1014" s="2"/>
      <c r="AA1014" s="2"/>
      <c r="AB1014" s="2"/>
      <c r="AC1014" s="2"/>
      <c r="AD1014" s="2"/>
      <c r="AE1014" s="2"/>
      <c r="AF1014" s="2"/>
      <c r="AG1014" s="2"/>
      <c r="AH1014" s="2"/>
      <c r="AI1014" s="2"/>
      <c r="AJ1014" s="2"/>
      <c r="AK1014" s="2"/>
    </row>
    <row r="1015" spans="2:37">
      <c r="B1015" s="2"/>
      <c r="C1015" s="2"/>
      <c r="D1015" s="2"/>
      <c r="E1015" s="2"/>
      <c r="F1015" s="46"/>
      <c r="G1015" s="46"/>
      <c r="H1015" s="46"/>
      <c r="I1015" s="392"/>
      <c r="J1015" s="392"/>
      <c r="K1015" s="2"/>
      <c r="L1015" s="2"/>
      <c r="M1015" s="2"/>
      <c r="N1015" s="2"/>
      <c r="O1015" s="2"/>
      <c r="P1015" s="2"/>
      <c r="Q1015" s="2"/>
      <c r="R1015" s="2"/>
      <c r="S1015" s="2"/>
      <c r="T1015" s="2"/>
      <c r="U1015" s="2"/>
      <c r="V1015" s="2"/>
      <c r="W1015" s="2"/>
      <c r="X1015" s="2"/>
      <c r="Y1015" s="2"/>
      <c r="Z1015" s="2"/>
      <c r="AA1015" s="2"/>
      <c r="AB1015" s="2"/>
      <c r="AC1015" s="2"/>
      <c r="AD1015" s="2"/>
      <c r="AE1015" s="2"/>
      <c r="AF1015" s="2"/>
      <c r="AG1015" s="2"/>
      <c r="AH1015" s="2"/>
      <c r="AI1015" s="2"/>
      <c r="AJ1015" s="2"/>
      <c r="AK1015" s="2"/>
    </row>
    <row r="1016" spans="2:37">
      <c r="M1016" s="2"/>
      <c r="N1016" s="2"/>
      <c r="O1016" s="2"/>
      <c r="P1016" s="2"/>
      <c r="Q1016" s="2"/>
      <c r="R1016" s="2"/>
      <c r="S1016" s="2"/>
      <c r="T1016" s="2"/>
      <c r="U1016" s="2"/>
      <c r="V1016" s="2"/>
      <c r="W1016" s="2"/>
      <c r="X1016" s="2"/>
      <c r="Y1016" s="2"/>
      <c r="Z1016" s="2"/>
      <c r="AA1016" s="2"/>
      <c r="AB1016" s="2"/>
      <c r="AC1016" s="2"/>
      <c r="AD1016" s="2"/>
      <c r="AE1016" s="2"/>
      <c r="AF1016" s="2"/>
      <c r="AG1016" s="2"/>
      <c r="AH1016" s="2"/>
      <c r="AI1016" s="2"/>
      <c r="AJ1016" s="2"/>
      <c r="AK1016" s="2"/>
    </row>
    <row r="1017" spans="2:37">
      <c r="M1017" s="2"/>
      <c r="N1017" s="2"/>
      <c r="O1017" s="2"/>
      <c r="P1017" s="2"/>
      <c r="Q1017" s="2"/>
      <c r="R1017" s="2"/>
      <c r="S1017" s="2"/>
      <c r="T1017" s="2"/>
      <c r="U1017" s="2"/>
      <c r="V1017" s="2"/>
      <c r="W1017" s="2"/>
      <c r="X1017" s="2"/>
      <c r="Y1017" s="2"/>
      <c r="Z1017" s="2"/>
      <c r="AA1017" s="2"/>
      <c r="AB1017" s="2"/>
      <c r="AC1017" s="2"/>
      <c r="AD1017" s="2"/>
      <c r="AE1017" s="2"/>
      <c r="AF1017" s="2"/>
      <c r="AG1017" s="2"/>
      <c r="AH1017" s="2"/>
      <c r="AI1017" s="2"/>
      <c r="AJ1017" s="2"/>
      <c r="AK1017" s="2"/>
    </row>
    <row r="1018" spans="2:37">
      <c r="M1018" s="2"/>
      <c r="N1018" s="2"/>
      <c r="O1018" s="2"/>
      <c r="P1018" s="2"/>
      <c r="Q1018" s="2"/>
      <c r="R1018" s="2"/>
      <c r="S1018" s="2"/>
      <c r="T1018" s="2"/>
      <c r="U1018" s="2"/>
      <c r="V1018" s="2"/>
      <c r="W1018" s="2"/>
      <c r="X1018" s="2"/>
      <c r="Y1018" s="2"/>
      <c r="Z1018" s="2"/>
      <c r="AA1018" s="2"/>
      <c r="AB1018" s="2"/>
      <c r="AC1018" s="2"/>
      <c r="AD1018" s="2"/>
      <c r="AE1018" s="2"/>
      <c r="AF1018" s="2"/>
      <c r="AG1018" s="2"/>
      <c r="AH1018" s="2"/>
      <c r="AI1018" s="2"/>
      <c r="AJ1018" s="2"/>
      <c r="AK1018" s="2"/>
    </row>
    <row r="1019" spans="2:37">
      <c r="M1019" s="2"/>
      <c r="N1019" s="2"/>
      <c r="O1019" s="2"/>
      <c r="P1019" s="2"/>
      <c r="Q1019" s="2"/>
      <c r="R1019" s="2"/>
      <c r="S1019" s="2"/>
      <c r="T1019" s="2"/>
      <c r="U1019" s="2"/>
      <c r="V1019" s="2"/>
      <c r="W1019" s="2"/>
      <c r="X1019" s="2"/>
      <c r="Y1019" s="2"/>
      <c r="Z1019" s="2"/>
      <c r="AA1019" s="2"/>
      <c r="AB1019" s="2"/>
      <c r="AC1019" s="2"/>
      <c r="AD1019" s="2"/>
      <c r="AE1019" s="2"/>
      <c r="AF1019" s="2"/>
      <c r="AG1019" s="2"/>
      <c r="AH1019" s="2"/>
      <c r="AI1019" s="2"/>
      <c r="AJ1019" s="2"/>
      <c r="AK1019" s="2"/>
    </row>
    <row r="1020" spans="2:37" hidden="1">
      <c r="M1020" s="2"/>
      <c r="N1020" s="2"/>
      <c r="O1020" s="2"/>
      <c r="P1020" s="2"/>
      <c r="Q1020" s="2"/>
      <c r="R1020" s="2"/>
      <c r="S1020" s="2"/>
      <c r="T1020" s="2"/>
      <c r="U1020" s="2"/>
      <c r="V1020" s="2"/>
      <c r="W1020" s="2"/>
      <c r="X1020" s="2"/>
      <c r="Y1020" s="2"/>
      <c r="Z1020" s="2"/>
      <c r="AA1020" s="2"/>
      <c r="AB1020" s="2"/>
      <c r="AC1020" s="2"/>
      <c r="AD1020" s="2"/>
      <c r="AE1020" s="2"/>
      <c r="AF1020" s="2"/>
      <c r="AG1020" s="2"/>
      <c r="AH1020" s="2"/>
      <c r="AI1020" s="2"/>
      <c r="AJ1020" s="2"/>
      <c r="AK1020" s="2"/>
    </row>
    <row r="1021" spans="2:37">
      <c r="M1021" s="2"/>
      <c r="N1021" s="2"/>
      <c r="O1021" s="2"/>
      <c r="P1021" s="2"/>
      <c r="Q1021" s="2"/>
      <c r="R1021" s="2"/>
      <c r="S1021" s="2"/>
      <c r="T1021" s="2"/>
      <c r="U1021" s="2"/>
      <c r="V1021" s="2"/>
      <c r="W1021" s="2"/>
      <c r="X1021" s="2"/>
      <c r="Y1021" s="2"/>
      <c r="Z1021" s="2"/>
      <c r="AA1021" s="2"/>
      <c r="AB1021" s="2"/>
      <c r="AC1021" s="2"/>
      <c r="AD1021" s="2"/>
      <c r="AE1021" s="2"/>
      <c r="AF1021" s="2"/>
      <c r="AG1021" s="2"/>
      <c r="AH1021" s="2"/>
      <c r="AI1021" s="2"/>
      <c r="AJ1021" s="2"/>
      <c r="AK1021" s="2"/>
    </row>
    <row r="1022" spans="2:37">
      <c r="M1022" s="2"/>
      <c r="N1022" s="2"/>
      <c r="O1022" s="2"/>
      <c r="P1022" s="2"/>
      <c r="Q1022" s="2"/>
      <c r="R1022" s="2"/>
      <c r="S1022" s="2"/>
      <c r="T1022" s="2"/>
      <c r="U1022" s="2"/>
      <c r="V1022" s="2"/>
      <c r="W1022" s="2"/>
      <c r="X1022" s="2"/>
      <c r="Y1022" s="2"/>
      <c r="Z1022" s="2"/>
      <c r="AA1022" s="2"/>
      <c r="AB1022" s="2"/>
      <c r="AC1022" s="2"/>
      <c r="AD1022" s="2"/>
      <c r="AE1022" s="2"/>
      <c r="AF1022" s="2"/>
      <c r="AG1022" s="2"/>
      <c r="AH1022" s="2"/>
      <c r="AI1022" s="2"/>
      <c r="AJ1022" s="2"/>
      <c r="AK1022" s="2"/>
    </row>
    <row r="1023" spans="2:37" ht="18">
      <c r="B1023" s="316" t="s">
        <v>151</v>
      </c>
      <c r="C1023" s="143"/>
      <c r="D1023" s="143"/>
      <c r="E1023" s="143"/>
      <c r="F1023" s="144"/>
      <c r="G1023" s="144"/>
      <c r="H1023" s="144"/>
      <c r="I1023" s="143"/>
      <c r="J1023" s="143"/>
      <c r="K1023" s="143"/>
      <c r="L1023" s="143"/>
      <c r="M1023" s="2"/>
      <c r="N1023" s="2"/>
      <c r="O1023" s="2"/>
      <c r="P1023" s="2"/>
      <c r="Q1023" s="2"/>
      <c r="R1023" s="2"/>
      <c r="S1023" s="2"/>
      <c r="T1023" s="2"/>
      <c r="U1023" s="2"/>
      <c r="V1023" s="2"/>
      <c r="W1023" s="2"/>
      <c r="X1023" s="2"/>
      <c r="Y1023" s="2"/>
      <c r="Z1023" s="2"/>
      <c r="AA1023" s="2"/>
      <c r="AB1023" s="2"/>
      <c r="AC1023" s="2"/>
      <c r="AD1023" s="2"/>
      <c r="AE1023" s="2"/>
      <c r="AF1023" s="2"/>
      <c r="AG1023" s="2"/>
      <c r="AH1023" s="2"/>
      <c r="AI1023" s="2"/>
      <c r="AJ1023" s="2"/>
      <c r="AK1023" s="2"/>
    </row>
    <row r="1024" spans="2:37">
      <c r="B1024" s="2"/>
      <c r="C1024" s="386" t="s">
        <v>1</v>
      </c>
      <c r="D1024" s="379"/>
      <c r="E1024" s="4"/>
      <c r="F1024" s="379"/>
      <c r="G1024" s="380"/>
      <c r="H1024" s="4"/>
      <c r="I1024" s="317"/>
      <c r="J1024" s="380"/>
      <c r="K1024" s="2"/>
      <c r="L1024" s="2"/>
      <c r="M1024" s="2"/>
      <c r="N1024" s="2"/>
      <c r="O1024" s="2"/>
      <c r="P1024" s="2"/>
      <c r="Q1024" s="2"/>
      <c r="R1024" s="2"/>
      <c r="S1024" s="2"/>
      <c r="T1024" s="2"/>
      <c r="U1024" s="2"/>
      <c r="V1024" s="2"/>
      <c r="W1024" s="2"/>
      <c r="X1024" s="2"/>
      <c r="Y1024" s="2"/>
      <c r="Z1024" s="2"/>
      <c r="AA1024" s="2"/>
      <c r="AB1024" s="2"/>
      <c r="AC1024" s="2"/>
      <c r="AD1024" s="2"/>
      <c r="AE1024" s="2"/>
      <c r="AF1024" s="2"/>
      <c r="AG1024" s="2"/>
      <c r="AH1024" s="2"/>
      <c r="AI1024" s="2"/>
      <c r="AJ1024" s="2"/>
      <c r="AK1024" s="2"/>
    </row>
    <row r="1025" spans="2:37">
      <c r="B1025" s="2"/>
      <c r="C1025" s="145"/>
      <c r="D1025" s="381" t="str">
        <f>D4</f>
        <v>2023-2024</v>
      </c>
      <c r="E1025" s="43"/>
      <c r="F1025" s="740" t="str">
        <f>F4</f>
        <v>2024-2025</v>
      </c>
      <c r="G1025" s="741"/>
      <c r="H1025" s="319" t="s">
        <v>2</v>
      </c>
      <c r="J1025" s="740" t="str">
        <f>I4</f>
        <v>2025-2026</v>
      </c>
      <c r="K1025" s="741"/>
      <c r="L1025" s="387" t="s">
        <v>2</v>
      </c>
      <c r="M1025" s="2"/>
      <c r="N1025" s="2"/>
      <c r="O1025" s="2"/>
      <c r="P1025" s="2"/>
      <c r="Q1025" s="2"/>
      <c r="R1025" s="2"/>
      <c r="S1025" s="2"/>
      <c r="T1025" s="2"/>
      <c r="U1025" s="2"/>
      <c r="V1025" s="2"/>
      <c r="W1025" s="2"/>
      <c r="X1025" s="2"/>
      <c r="Y1025" s="2"/>
      <c r="Z1025" s="2"/>
      <c r="AA1025" s="2"/>
      <c r="AB1025" s="2"/>
      <c r="AC1025" s="2"/>
      <c r="AD1025" s="2"/>
      <c r="AE1025" s="2"/>
      <c r="AF1025" s="2"/>
      <c r="AG1025" s="2"/>
      <c r="AH1025" s="2"/>
      <c r="AI1025" s="2"/>
      <c r="AJ1025" s="2"/>
      <c r="AK1025" s="2"/>
    </row>
    <row r="1026" spans="2:37">
      <c r="B1026" s="2"/>
      <c r="C1026" s="220" t="s">
        <v>4</v>
      </c>
      <c r="D1026" s="323" t="s">
        <v>5</v>
      </c>
      <c r="E1026" s="43"/>
      <c r="F1026" s="736" t="s">
        <v>5</v>
      </c>
      <c r="G1026" s="737"/>
      <c r="H1026" s="322" t="s">
        <v>144</v>
      </c>
      <c r="J1026" s="736" t="s">
        <v>6</v>
      </c>
      <c r="K1026" s="737"/>
      <c r="L1026" s="388" t="s">
        <v>144</v>
      </c>
      <c r="M1026" s="2"/>
      <c r="N1026" s="2"/>
      <c r="O1026" s="2"/>
      <c r="P1026" s="2"/>
      <c r="Q1026" s="2"/>
      <c r="R1026" s="2"/>
      <c r="S1026" s="2"/>
      <c r="T1026" s="2"/>
      <c r="U1026" s="2"/>
      <c r="V1026" s="2"/>
      <c r="W1026" s="2"/>
      <c r="X1026" s="2"/>
      <c r="Y1026" s="2"/>
      <c r="Z1026" s="2"/>
      <c r="AA1026" s="2"/>
      <c r="AB1026" s="2"/>
      <c r="AC1026" s="2"/>
      <c r="AD1026" s="2"/>
      <c r="AE1026" s="2"/>
      <c r="AF1026" s="2"/>
      <c r="AG1026" s="2"/>
      <c r="AH1026" s="2"/>
      <c r="AI1026" s="2"/>
      <c r="AJ1026" s="2"/>
      <c r="AK1026" s="2"/>
    </row>
    <row r="1027" spans="2:37">
      <c r="B1027" s="324" t="s">
        <v>34</v>
      </c>
      <c r="C1027" s="325"/>
      <c r="D1027" s="326">
        <f>[1]C06!$C$263</f>
        <v>0</v>
      </c>
      <c r="E1027" s="327"/>
      <c r="F1027" s="746">
        <f>[1]C06!$D$263</f>
        <v>0</v>
      </c>
      <c r="G1027" s="745"/>
      <c r="H1027" s="328">
        <f t="shared" ref="H1027:H1065" si="96">IF(D1027=0,0,((F1027-D1027)/D1027))</f>
        <v>0</v>
      </c>
      <c r="J1027" s="747">
        <f>[1]C06!$E$263</f>
        <v>0</v>
      </c>
      <c r="K1027" s="732"/>
      <c r="L1027" s="328">
        <f t="shared" ref="L1027:L1048" si="97">IF(F1027=0,0,((J1027-F1027)/F1027))</f>
        <v>0</v>
      </c>
      <c r="M1027" s="2"/>
      <c r="N1027" s="2"/>
      <c r="O1027" s="2"/>
      <c r="P1027" s="2"/>
      <c r="Q1027" s="2"/>
      <c r="R1027" s="2"/>
      <c r="S1027" s="2"/>
      <c r="T1027" s="2"/>
      <c r="U1027" s="2"/>
      <c r="V1027" s="2"/>
      <c r="W1027" s="2"/>
      <c r="X1027" s="2"/>
      <c r="Y1027" s="2"/>
      <c r="Z1027" s="2"/>
      <c r="AA1027" s="2"/>
      <c r="AB1027" s="2"/>
      <c r="AC1027" s="2"/>
      <c r="AD1027" s="2"/>
      <c r="AE1027" s="2"/>
      <c r="AF1027" s="2"/>
      <c r="AG1027" s="2"/>
      <c r="AH1027" s="2"/>
      <c r="AI1027" s="2"/>
      <c r="AJ1027" s="2"/>
      <c r="AK1027" s="2"/>
    </row>
    <row r="1028" spans="2:37">
      <c r="B1028" s="44" t="s">
        <v>36</v>
      </c>
      <c r="C1028" s="44"/>
      <c r="D1028" s="329">
        <f>SUM([1]C07!$C$219:$C$229)</f>
        <v>0</v>
      </c>
      <c r="E1028" s="327"/>
      <c r="F1028" s="743">
        <f>SUM([1]C07!$D$219:$D$229)</f>
        <v>0</v>
      </c>
      <c r="G1028" s="742"/>
      <c r="H1028" s="330">
        <f t="shared" si="96"/>
        <v>0</v>
      </c>
      <c r="J1028" s="671">
        <f>SUM([1]C07!$E$219:$E$229)</f>
        <v>0</v>
      </c>
      <c r="K1028" s="653"/>
      <c r="L1028" s="330">
        <f t="shared" si="97"/>
        <v>0</v>
      </c>
      <c r="M1028" s="2"/>
      <c r="N1028" s="2"/>
      <c r="O1028" s="2"/>
      <c r="P1028" s="2"/>
      <c r="Q1028" s="2"/>
      <c r="R1028" s="2"/>
      <c r="S1028" s="2"/>
      <c r="T1028" s="2"/>
      <c r="U1028" s="2"/>
      <c r="V1028" s="2"/>
      <c r="W1028" s="2"/>
      <c r="X1028" s="2"/>
      <c r="Y1028" s="2"/>
      <c r="Z1028" s="2"/>
      <c r="AA1028" s="2"/>
      <c r="AB1028" s="2"/>
      <c r="AC1028" s="2"/>
      <c r="AD1028" s="2"/>
      <c r="AE1028" s="2"/>
      <c r="AF1028" s="2"/>
      <c r="AG1028" s="2"/>
      <c r="AH1028" s="2"/>
      <c r="AI1028" s="2"/>
      <c r="AJ1028" s="2"/>
      <c r="AK1028" s="2"/>
    </row>
    <row r="1029" spans="2:37">
      <c r="B1029" s="324" t="s">
        <v>35</v>
      </c>
      <c r="C1029" s="324"/>
      <c r="D1029" s="331">
        <f>[1]C08!$C$268</f>
        <v>0</v>
      </c>
      <c r="E1029" s="327"/>
      <c r="F1029" s="748">
        <f>[1]C08!$D$268</f>
        <v>0</v>
      </c>
      <c r="G1029" s="735"/>
      <c r="H1029" s="332">
        <f t="shared" si="96"/>
        <v>0</v>
      </c>
      <c r="J1029" s="656">
        <f>[1]C08!$E$268</f>
        <v>0</v>
      </c>
      <c r="K1029" s="655"/>
      <c r="L1029" s="332">
        <f t="shared" si="97"/>
        <v>0</v>
      </c>
      <c r="M1029" s="2"/>
      <c r="N1029" s="2"/>
      <c r="O1029" s="2"/>
      <c r="P1029" s="2"/>
      <c r="Q1029" s="2"/>
      <c r="R1029" s="2"/>
      <c r="S1029" s="2"/>
      <c r="T1029" s="2"/>
      <c r="U1029" s="2"/>
      <c r="V1029" s="2"/>
      <c r="W1029" s="2"/>
      <c r="X1029" s="165"/>
      <c r="Y1029" s="165"/>
      <c r="Z1029" s="165"/>
      <c r="AA1029" s="2"/>
      <c r="AB1029" s="2"/>
      <c r="AC1029" s="2"/>
      <c r="AD1029" s="2"/>
      <c r="AE1029" s="2"/>
      <c r="AF1029" s="2"/>
      <c r="AG1029" s="2"/>
      <c r="AH1029" s="2"/>
      <c r="AI1029" s="2"/>
      <c r="AJ1029" s="2"/>
      <c r="AK1029" s="2"/>
    </row>
    <row r="1030" spans="2:37">
      <c r="B1030" s="1" t="s">
        <v>140</v>
      </c>
      <c r="C1030" s="333"/>
      <c r="D1030" s="336">
        <v>0</v>
      </c>
      <c r="E1030" s="327"/>
      <c r="F1030" s="742">
        <v>0</v>
      </c>
      <c r="G1030" s="742"/>
      <c r="H1030" s="330">
        <f t="shared" si="96"/>
        <v>0</v>
      </c>
      <c r="J1030" s="733">
        <v>0</v>
      </c>
      <c r="K1030" s="673"/>
      <c r="L1030" s="330">
        <f t="shared" si="97"/>
        <v>0</v>
      </c>
      <c r="M1030" s="2"/>
      <c r="N1030" s="2"/>
      <c r="O1030" s="2"/>
      <c r="P1030" s="2"/>
      <c r="Q1030" s="2"/>
      <c r="R1030" s="2"/>
      <c r="S1030" s="2"/>
      <c r="T1030" s="2"/>
      <c r="U1030" s="2"/>
      <c r="V1030" s="2"/>
      <c r="W1030" s="2"/>
      <c r="X1030" s="165"/>
      <c r="Y1030" s="165"/>
      <c r="Z1030" s="165"/>
      <c r="AA1030" s="2"/>
      <c r="AB1030" s="2"/>
      <c r="AC1030" s="2"/>
      <c r="AD1030" s="2"/>
      <c r="AE1030" s="2"/>
      <c r="AF1030" s="2"/>
      <c r="AG1030" s="2"/>
      <c r="AH1030" s="2"/>
      <c r="AI1030" s="2"/>
      <c r="AJ1030" s="2"/>
      <c r="AK1030" s="2"/>
    </row>
    <row r="1031" spans="2:37">
      <c r="B1031" s="324" t="s">
        <v>277</v>
      </c>
      <c r="C1031" s="335"/>
      <c r="D1031" s="339">
        <v>0</v>
      </c>
      <c r="E1031" s="327"/>
      <c r="F1031" s="735">
        <v>0</v>
      </c>
      <c r="G1031" s="735"/>
      <c r="H1031" s="332">
        <f t="shared" si="96"/>
        <v>0</v>
      </c>
      <c r="J1031" s="734">
        <v>0</v>
      </c>
      <c r="K1031" s="675"/>
      <c r="L1031" s="332">
        <f t="shared" si="97"/>
        <v>0</v>
      </c>
      <c r="M1031" s="2"/>
      <c r="N1031" s="2"/>
      <c r="O1031" s="2"/>
      <c r="P1031" s="2"/>
      <c r="Q1031" s="2"/>
      <c r="R1031" s="2"/>
      <c r="S1031" s="2"/>
      <c r="T1031" s="2"/>
      <c r="U1031" s="2"/>
      <c r="V1031" s="2"/>
      <c r="W1031" s="2"/>
      <c r="X1031" s="165"/>
      <c r="Y1031" s="165"/>
      <c r="Z1031" s="165"/>
      <c r="AA1031" s="2"/>
      <c r="AB1031" s="2"/>
      <c r="AC1031" s="2"/>
      <c r="AD1031" s="2"/>
      <c r="AE1031" s="2"/>
      <c r="AF1031" s="2"/>
      <c r="AG1031" s="2"/>
      <c r="AH1031" s="2"/>
      <c r="AI1031" s="2"/>
      <c r="AJ1031" s="2"/>
      <c r="AK1031" s="2"/>
    </row>
    <row r="1032" spans="2:37">
      <c r="B1032" s="1" t="s">
        <v>39</v>
      </c>
      <c r="C1032" s="1">
        <v>14</v>
      </c>
      <c r="D1032" s="336">
        <v>0</v>
      </c>
      <c r="E1032" s="327"/>
      <c r="F1032" s="742">
        <v>0</v>
      </c>
      <c r="G1032" s="742"/>
      <c r="H1032" s="330">
        <f t="shared" si="96"/>
        <v>0</v>
      </c>
      <c r="J1032" s="652">
        <v>0</v>
      </c>
      <c r="K1032" s="653"/>
      <c r="L1032" s="330">
        <f t="shared" si="97"/>
        <v>0</v>
      </c>
      <c r="M1032" s="2"/>
      <c r="N1032" s="2"/>
      <c r="O1032" s="2"/>
      <c r="P1032" s="2"/>
      <c r="Q1032" s="2"/>
      <c r="R1032" s="2"/>
      <c r="S1032" s="2"/>
      <c r="T1032" s="2"/>
      <c r="U1032" s="2"/>
      <c r="V1032" s="2"/>
      <c r="W1032" s="2"/>
      <c r="X1032" s="2"/>
      <c r="Y1032" s="2"/>
      <c r="Z1032" s="2"/>
      <c r="AA1032" s="2"/>
      <c r="AB1032" s="2"/>
      <c r="AC1032" s="2"/>
      <c r="AD1032" s="2"/>
      <c r="AE1032" s="2"/>
      <c r="AF1032" s="2"/>
      <c r="AG1032" s="2"/>
      <c r="AH1032" s="2"/>
      <c r="AI1032" s="2"/>
      <c r="AJ1032" s="2"/>
      <c r="AK1032" s="2"/>
    </row>
    <row r="1033" spans="2:37">
      <c r="B1033" s="324" t="s">
        <v>40</v>
      </c>
      <c r="C1033" s="324"/>
      <c r="D1033" s="339">
        <v>0</v>
      </c>
      <c r="E1033" s="327"/>
      <c r="F1033" s="735">
        <v>0</v>
      </c>
      <c r="G1033" s="735"/>
      <c r="H1033" s="332">
        <f t="shared" si="96"/>
        <v>0</v>
      </c>
      <c r="J1033" s="654">
        <v>0</v>
      </c>
      <c r="K1033" s="655"/>
      <c r="L1033" s="332">
        <f t="shared" si="97"/>
        <v>0</v>
      </c>
      <c r="M1033" s="2"/>
      <c r="N1033" s="2"/>
      <c r="O1033" s="2"/>
      <c r="P1033" s="2"/>
      <c r="Q1033" s="2"/>
      <c r="R1033" s="2"/>
      <c r="S1033" s="2"/>
      <c r="T1033" s="2"/>
      <c r="U1033" s="2"/>
      <c r="V1033" s="2"/>
      <c r="W1033" s="2"/>
      <c r="X1033" s="2"/>
      <c r="Y1033" s="2"/>
      <c r="Z1033" s="2"/>
      <c r="AA1033" s="2"/>
      <c r="AB1033" s="2"/>
      <c r="AC1033" s="2"/>
      <c r="AD1033" s="2"/>
      <c r="AE1033" s="2"/>
      <c r="AF1033" s="2"/>
      <c r="AG1033" s="2"/>
      <c r="AH1033" s="2"/>
      <c r="AI1033" s="2"/>
      <c r="AJ1033" s="2"/>
      <c r="AK1033" s="2"/>
    </row>
    <row r="1034" spans="2:37">
      <c r="B1034" s="1" t="s">
        <v>41</v>
      </c>
      <c r="C1034" s="1"/>
      <c r="D1034" s="334">
        <f>SUM([1]C016!$C$125:$C$138)</f>
        <v>39926</v>
      </c>
      <c r="E1034" s="327"/>
      <c r="F1034" s="743">
        <f>SUM([1]C016!$D$125:$D$138)</f>
        <v>0</v>
      </c>
      <c r="G1034" s="742"/>
      <c r="H1034" s="330">
        <f t="shared" si="96"/>
        <v>-1</v>
      </c>
      <c r="J1034" s="671">
        <f>SUM([1]C016!$E$125:$E$138)</f>
        <v>25000</v>
      </c>
      <c r="K1034" s="653"/>
      <c r="L1034" s="330">
        <f t="shared" si="97"/>
        <v>0</v>
      </c>
      <c r="M1034" s="2"/>
      <c r="N1034" s="2"/>
      <c r="O1034" s="2"/>
      <c r="P1034" s="2"/>
      <c r="Q1034" s="2"/>
      <c r="R1034" s="2"/>
      <c r="S1034" s="2"/>
      <c r="T1034" s="2"/>
      <c r="U1034" s="2"/>
      <c r="V1034" s="2"/>
      <c r="W1034" s="2"/>
      <c r="X1034" s="2"/>
      <c r="Y1034" s="2"/>
      <c r="Z1034" s="2"/>
      <c r="AA1034" s="2"/>
      <c r="AB1034" s="2"/>
      <c r="AC1034" s="2"/>
      <c r="AD1034" s="2"/>
      <c r="AE1034" s="2"/>
      <c r="AF1034" s="2"/>
      <c r="AG1034" s="2"/>
      <c r="AH1034" s="2"/>
      <c r="AI1034" s="2"/>
      <c r="AJ1034" s="2"/>
      <c r="AK1034" s="2"/>
    </row>
    <row r="1035" spans="2:37">
      <c r="B1035" s="324" t="s">
        <v>70</v>
      </c>
      <c r="C1035" s="324">
        <v>18</v>
      </c>
      <c r="D1035" s="339">
        <v>0</v>
      </c>
      <c r="E1035" s="327"/>
      <c r="F1035" s="735">
        <v>0</v>
      </c>
      <c r="G1035" s="735"/>
      <c r="H1035" s="332">
        <f t="shared" si="96"/>
        <v>0</v>
      </c>
      <c r="J1035" s="654">
        <v>0</v>
      </c>
      <c r="K1035" s="655"/>
      <c r="L1035" s="332">
        <f t="shared" si="97"/>
        <v>0</v>
      </c>
      <c r="M1035" s="2"/>
      <c r="N1035" s="2"/>
      <c r="O1035" s="2"/>
      <c r="P1035" s="2"/>
      <c r="Q1035" s="2"/>
      <c r="R1035" s="2"/>
      <c r="S1035" s="2"/>
      <c r="T1035" s="2"/>
      <c r="U1035" s="2"/>
      <c r="V1035" s="2"/>
      <c r="W1035" s="2"/>
      <c r="X1035" s="2"/>
      <c r="Y1035" s="2"/>
      <c r="Z1035" s="2"/>
      <c r="AA1035" s="2"/>
      <c r="AB1035" s="2"/>
      <c r="AC1035" s="2"/>
      <c r="AD1035" s="2"/>
      <c r="AE1035" s="2"/>
      <c r="AF1035" s="2"/>
      <c r="AG1035" s="2"/>
      <c r="AH1035" s="2"/>
      <c r="AI1035" s="2"/>
      <c r="AJ1035" s="2"/>
      <c r="AK1035" s="2"/>
    </row>
    <row r="1036" spans="2:37">
      <c r="B1036" s="1" t="s">
        <v>43</v>
      </c>
      <c r="C1036" s="1"/>
      <c r="D1036" s="336">
        <v>0</v>
      </c>
      <c r="E1036" s="327"/>
      <c r="F1036" s="742">
        <v>0</v>
      </c>
      <c r="G1036" s="742"/>
      <c r="H1036" s="330">
        <f t="shared" si="96"/>
        <v>0</v>
      </c>
      <c r="J1036" s="652">
        <v>0</v>
      </c>
      <c r="K1036" s="653"/>
      <c r="L1036" s="330">
        <f t="shared" si="97"/>
        <v>0</v>
      </c>
      <c r="M1036" s="2"/>
      <c r="N1036" s="2"/>
      <c r="O1036" s="2"/>
      <c r="P1036" s="2"/>
      <c r="Q1036" s="2"/>
      <c r="R1036" s="2"/>
      <c r="S1036" s="2"/>
      <c r="T1036" s="2"/>
      <c r="U1036" s="2"/>
      <c r="V1036" s="2"/>
      <c r="W1036" s="2"/>
      <c r="X1036" s="2"/>
      <c r="Y1036" s="2"/>
      <c r="Z1036" s="2"/>
      <c r="AA1036" s="2"/>
      <c r="AB1036" s="2"/>
      <c r="AC1036" s="2"/>
      <c r="AD1036" s="2"/>
      <c r="AE1036" s="2"/>
      <c r="AF1036" s="2"/>
      <c r="AG1036" s="2"/>
      <c r="AH1036" s="2"/>
      <c r="AI1036" s="2"/>
      <c r="AJ1036" s="2"/>
      <c r="AK1036" s="2"/>
    </row>
    <row r="1037" spans="2:37">
      <c r="B1037" s="324" t="s">
        <v>44</v>
      </c>
      <c r="C1037" s="324">
        <v>22</v>
      </c>
      <c r="D1037" s="339">
        <v>0</v>
      </c>
      <c r="E1037" s="327"/>
      <c r="F1037" s="735">
        <v>0</v>
      </c>
      <c r="G1037" s="735"/>
      <c r="H1037" s="332">
        <f t="shared" si="96"/>
        <v>0</v>
      </c>
      <c r="J1037" s="654">
        <v>0</v>
      </c>
      <c r="K1037" s="655"/>
      <c r="L1037" s="332">
        <f t="shared" si="97"/>
        <v>0</v>
      </c>
      <c r="M1037" s="2"/>
      <c r="N1037" s="2"/>
      <c r="O1037" s="2"/>
      <c r="P1037" s="2"/>
      <c r="Q1037" s="2"/>
      <c r="R1037" s="2"/>
      <c r="S1037" s="2"/>
      <c r="T1037" s="2"/>
      <c r="U1037" s="2"/>
      <c r="V1037" s="2"/>
      <c r="W1037" s="2"/>
      <c r="X1037" s="2"/>
      <c r="Y1037" s="2"/>
      <c r="Z1037" s="2"/>
      <c r="AA1037" s="2"/>
      <c r="AB1037" s="2"/>
      <c r="AC1037" s="2"/>
      <c r="AD1037" s="2"/>
      <c r="AE1037" s="2"/>
      <c r="AF1037" s="2"/>
      <c r="AG1037" s="2"/>
      <c r="AH1037" s="2"/>
      <c r="AI1037" s="2"/>
      <c r="AJ1037" s="2"/>
      <c r="AK1037" s="2"/>
    </row>
    <row r="1038" spans="2:37">
      <c r="B1038" s="1" t="s">
        <v>45</v>
      </c>
      <c r="C1038" s="337">
        <v>24</v>
      </c>
      <c r="D1038" s="336">
        <v>0</v>
      </c>
      <c r="E1038" s="327"/>
      <c r="F1038" s="652">
        <v>0</v>
      </c>
      <c r="G1038" s="653"/>
      <c r="H1038" s="330">
        <f t="shared" si="96"/>
        <v>0</v>
      </c>
      <c r="J1038" s="652">
        <v>0</v>
      </c>
      <c r="K1038" s="653"/>
      <c r="L1038" s="330">
        <f t="shared" si="97"/>
        <v>0</v>
      </c>
      <c r="M1038" s="2"/>
      <c r="N1038" s="2"/>
      <c r="O1038" s="2"/>
      <c r="P1038" s="2"/>
      <c r="Q1038" s="2"/>
      <c r="R1038" s="2"/>
      <c r="S1038" s="2"/>
      <c r="T1038" s="2"/>
      <c r="U1038" s="2"/>
      <c r="V1038" s="2"/>
      <c r="W1038" s="2"/>
      <c r="X1038" s="2"/>
      <c r="Y1038" s="2"/>
      <c r="Z1038" s="2"/>
      <c r="AA1038" s="2"/>
      <c r="AB1038" s="2"/>
      <c r="AC1038" s="2"/>
      <c r="AD1038" s="2"/>
      <c r="AE1038" s="2"/>
      <c r="AF1038" s="2"/>
      <c r="AG1038" s="2"/>
      <c r="AH1038" s="2"/>
      <c r="AI1038" s="2"/>
      <c r="AJ1038" s="2"/>
      <c r="AK1038" s="2"/>
    </row>
    <row r="1039" spans="2:37">
      <c r="B1039" s="324" t="s">
        <v>46</v>
      </c>
      <c r="C1039" s="338">
        <v>26</v>
      </c>
      <c r="D1039" s="339">
        <v>0</v>
      </c>
      <c r="E1039" s="327"/>
      <c r="F1039" s="654">
        <v>0</v>
      </c>
      <c r="G1039" s="655"/>
      <c r="H1039" s="332">
        <f t="shared" si="96"/>
        <v>0</v>
      </c>
      <c r="J1039" s="654">
        <v>0</v>
      </c>
      <c r="K1039" s="655"/>
      <c r="L1039" s="332">
        <f t="shared" si="97"/>
        <v>0</v>
      </c>
      <c r="M1039" s="2"/>
      <c r="N1039" s="2"/>
      <c r="O1039" s="2"/>
      <c r="P1039" s="2"/>
      <c r="Q1039" s="2"/>
      <c r="R1039" s="2"/>
      <c r="S1039" s="2"/>
      <c r="T1039" s="2"/>
      <c r="U1039" s="2"/>
      <c r="V1039" s="2"/>
      <c r="W1039" s="2"/>
      <c r="X1039" s="2"/>
      <c r="Y1039" s="2"/>
      <c r="Z1039" s="2"/>
      <c r="AA1039" s="2"/>
      <c r="AB1039" s="2"/>
      <c r="AC1039" s="2"/>
      <c r="AD1039" s="2"/>
      <c r="AE1039" s="2"/>
      <c r="AF1039" s="2"/>
      <c r="AG1039" s="2"/>
      <c r="AH1039" s="2"/>
      <c r="AI1039" s="2"/>
      <c r="AJ1039" s="2"/>
      <c r="AK1039" s="2"/>
    </row>
    <row r="1040" spans="2:37">
      <c r="B1040" s="1" t="s">
        <v>47</v>
      </c>
      <c r="C1040" s="337">
        <v>28</v>
      </c>
      <c r="D1040" s="336">
        <v>0</v>
      </c>
      <c r="E1040" s="327"/>
      <c r="F1040" s="652">
        <v>0</v>
      </c>
      <c r="G1040" s="653"/>
      <c r="H1040" s="330">
        <f t="shared" si="96"/>
        <v>0</v>
      </c>
      <c r="J1040" s="652">
        <v>0</v>
      </c>
      <c r="K1040" s="653"/>
      <c r="L1040" s="330">
        <f t="shared" si="97"/>
        <v>0</v>
      </c>
      <c r="M1040" s="2"/>
      <c r="N1040" s="2"/>
      <c r="O1040" s="2"/>
      <c r="P1040" s="2"/>
      <c r="Q1040" s="2"/>
      <c r="R1040" s="2"/>
      <c r="S1040" s="2"/>
      <c r="T1040" s="2"/>
      <c r="U1040" s="2"/>
      <c r="V1040" s="2"/>
      <c r="W1040" s="2"/>
      <c r="X1040" s="2"/>
      <c r="Y1040" s="2"/>
      <c r="Z1040" s="2"/>
      <c r="AA1040" s="2"/>
      <c r="AB1040" s="2"/>
      <c r="AC1040" s="2"/>
      <c r="AD1040" s="2"/>
      <c r="AE1040" s="2"/>
      <c r="AF1040" s="2"/>
      <c r="AG1040" s="2"/>
      <c r="AH1040" s="2"/>
      <c r="AI1040" s="2"/>
      <c r="AJ1040" s="2"/>
      <c r="AK1040" s="2"/>
    </row>
    <row r="1041" spans="2:37">
      <c r="B1041" s="324" t="s">
        <v>48</v>
      </c>
      <c r="C1041" s="338">
        <v>29</v>
      </c>
      <c r="D1041" s="339">
        <v>0</v>
      </c>
      <c r="E1041" s="327"/>
      <c r="F1041" s="654">
        <v>0</v>
      </c>
      <c r="G1041" s="655"/>
      <c r="H1041" s="332">
        <f t="shared" si="96"/>
        <v>0</v>
      </c>
      <c r="J1041" s="654">
        <v>0</v>
      </c>
      <c r="K1041" s="655"/>
      <c r="L1041" s="332">
        <f t="shared" si="97"/>
        <v>0</v>
      </c>
      <c r="M1041" s="2"/>
      <c r="N1041" s="2"/>
      <c r="O1041" s="2"/>
      <c r="P1041" s="2"/>
      <c r="Q1041" s="2"/>
      <c r="R1041" s="2"/>
      <c r="S1041" s="2"/>
      <c r="T1041" s="2"/>
      <c r="U1041" s="2"/>
      <c r="V1041" s="2"/>
      <c r="W1041" s="2"/>
      <c r="X1041" s="2"/>
      <c r="Y1041" s="2"/>
      <c r="Z1041" s="2"/>
      <c r="AA1041" s="2"/>
      <c r="AB1041" s="2"/>
      <c r="AC1041" s="2"/>
      <c r="AD1041" s="2"/>
      <c r="AE1041" s="2"/>
      <c r="AF1041" s="2"/>
      <c r="AG1041" s="2"/>
      <c r="AH1041" s="2"/>
      <c r="AI1041" s="2"/>
      <c r="AJ1041" s="2"/>
      <c r="AK1041" s="2"/>
    </row>
    <row r="1042" spans="2:37">
      <c r="B1042" s="1" t="s">
        <v>37</v>
      </c>
      <c r="C1042" s="337">
        <v>30</v>
      </c>
      <c r="D1042" s="336">
        <v>0</v>
      </c>
      <c r="E1042" s="327"/>
      <c r="F1042" s="652">
        <v>0</v>
      </c>
      <c r="G1042" s="653"/>
      <c r="H1042" s="330">
        <f t="shared" si="96"/>
        <v>0</v>
      </c>
      <c r="J1042" s="652">
        <v>0</v>
      </c>
      <c r="K1042" s="653"/>
      <c r="L1042" s="330">
        <f t="shared" si="97"/>
        <v>0</v>
      </c>
      <c r="M1042" s="2"/>
      <c r="N1042" s="2"/>
      <c r="O1042" s="2"/>
      <c r="P1042" s="2"/>
      <c r="Q1042" s="2"/>
      <c r="R1042" s="2"/>
      <c r="S1042" s="2"/>
      <c r="T1042" s="2"/>
      <c r="U1042" s="2"/>
      <c r="V1042" s="2"/>
      <c r="W1042" s="2"/>
      <c r="X1042" s="2"/>
      <c r="Y1042" s="2"/>
      <c r="Z1042" s="2"/>
      <c r="AA1042" s="2"/>
      <c r="AB1042" s="2"/>
      <c r="AC1042" s="2"/>
      <c r="AD1042" s="2"/>
      <c r="AE1042" s="2"/>
      <c r="AF1042" s="2"/>
      <c r="AG1042" s="2"/>
      <c r="AH1042" s="2"/>
      <c r="AI1042" s="2"/>
      <c r="AJ1042" s="2"/>
      <c r="AK1042" s="2"/>
    </row>
    <row r="1043" spans="2:37">
      <c r="B1043" s="324" t="s">
        <v>49</v>
      </c>
      <c r="C1043" s="338"/>
      <c r="D1043" s="339">
        <v>0</v>
      </c>
      <c r="E1043" s="327"/>
      <c r="F1043" s="654">
        <v>0</v>
      </c>
      <c r="G1043" s="655"/>
      <c r="H1043" s="332">
        <f t="shared" si="96"/>
        <v>0</v>
      </c>
      <c r="J1043" s="654">
        <v>0</v>
      </c>
      <c r="K1043" s="655"/>
      <c r="L1043" s="332">
        <f t="shared" si="97"/>
        <v>0</v>
      </c>
      <c r="M1043" s="2"/>
      <c r="N1043" s="2"/>
      <c r="O1043" s="2"/>
      <c r="P1043" s="2"/>
      <c r="Q1043" s="2"/>
      <c r="R1043" s="2"/>
      <c r="S1043" s="2"/>
      <c r="T1043" s="2"/>
      <c r="U1043" s="2"/>
      <c r="V1043" s="2"/>
      <c r="W1043" s="2"/>
      <c r="X1043" s="2"/>
      <c r="Y1043" s="2"/>
      <c r="Z1043" s="2"/>
      <c r="AA1043" s="2"/>
      <c r="AB1043" s="2"/>
      <c r="AC1043" s="2"/>
      <c r="AD1043" s="2"/>
      <c r="AE1043" s="2"/>
      <c r="AF1043" s="2"/>
      <c r="AG1043" s="2"/>
      <c r="AH1043" s="2"/>
      <c r="AI1043" s="2"/>
      <c r="AJ1043" s="2"/>
      <c r="AK1043" s="2"/>
    </row>
    <row r="1044" spans="2:37">
      <c r="B1044" s="370" t="str">
        <f>B338</f>
        <v>Career and Postsecondary Ed.</v>
      </c>
      <c r="C1044" s="337">
        <v>34</v>
      </c>
      <c r="D1044" s="336">
        <v>0</v>
      </c>
      <c r="E1044" s="327"/>
      <c r="F1044" s="652">
        <v>0</v>
      </c>
      <c r="G1044" s="653"/>
      <c r="H1044" s="330">
        <f t="shared" si="96"/>
        <v>0</v>
      </c>
      <c r="J1044" s="652">
        <v>0</v>
      </c>
      <c r="K1044" s="653"/>
      <c r="L1044" s="330">
        <f t="shared" si="97"/>
        <v>0</v>
      </c>
      <c r="M1044" s="2"/>
      <c r="N1044" s="2"/>
      <c r="O1044" s="2"/>
      <c r="P1044" s="2"/>
      <c r="Q1044" s="2"/>
      <c r="R1044" s="2"/>
      <c r="S1044" s="2"/>
      <c r="T1044" s="2"/>
      <c r="U1044" s="2"/>
      <c r="V1044" s="2"/>
      <c r="W1044" s="2"/>
      <c r="X1044" s="2"/>
      <c r="Y1044" s="2"/>
      <c r="Z1044" s="2"/>
      <c r="AA1044" s="2"/>
      <c r="AB1044" s="2"/>
      <c r="AC1044" s="2"/>
      <c r="AD1044" s="2"/>
      <c r="AE1044" s="2"/>
      <c r="AF1044" s="2"/>
      <c r="AG1044" s="2"/>
      <c r="AH1044" s="2"/>
      <c r="AI1044" s="2"/>
      <c r="AJ1044" s="2"/>
      <c r="AK1044" s="2"/>
    </row>
    <row r="1045" spans="2:37" ht="15.75">
      <c r="B1045" s="324" t="s">
        <v>178</v>
      </c>
      <c r="C1045" s="338"/>
      <c r="D1045" s="331">
        <f>SUM([1]C035!$C$230:$C$239)</f>
        <v>0</v>
      </c>
      <c r="E1045" s="327"/>
      <c r="F1045" s="656">
        <f>SUM([1]C035!$D$230:$D$239)</f>
        <v>0</v>
      </c>
      <c r="G1045" s="655"/>
      <c r="H1045" s="332">
        <f t="shared" si="96"/>
        <v>0</v>
      </c>
      <c r="J1045" s="656">
        <f>SUM([1]C035!$E$230:$E$239)</f>
        <v>0</v>
      </c>
      <c r="K1045" s="655"/>
      <c r="L1045" s="332">
        <f t="shared" si="97"/>
        <v>0</v>
      </c>
      <c r="M1045" s="2"/>
      <c r="N1045" s="2"/>
      <c r="O1045" s="2"/>
      <c r="P1045" s="2"/>
      <c r="Q1045" s="2"/>
      <c r="R1045" s="2"/>
      <c r="S1045" s="2"/>
      <c r="T1045" s="2"/>
      <c r="U1045" s="2"/>
      <c r="V1045" s="2"/>
      <c r="W1045" s="2"/>
      <c r="X1045" s="2"/>
      <c r="Y1045" s="2"/>
      <c r="Z1045" s="2"/>
      <c r="AA1045" s="2"/>
      <c r="AB1045" s="2"/>
      <c r="AC1045" s="2"/>
      <c r="AD1045" s="2"/>
      <c r="AE1045" s="2"/>
      <c r="AF1045" s="2"/>
      <c r="AG1045" s="2"/>
      <c r="AH1045" s="2"/>
      <c r="AI1045" s="2"/>
      <c r="AJ1045" s="2"/>
      <c r="AK1045" s="2"/>
    </row>
    <row r="1046" spans="2:37">
      <c r="B1046" s="1" t="s">
        <v>71</v>
      </c>
      <c r="C1046" s="337">
        <v>42</v>
      </c>
      <c r="D1046" s="336">
        <v>0</v>
      </c>
      <c r="E1046" s="327"/>
      <c r="F1046" s="652">
        <v>0</v>
      </c>
      <c r="G1046" s="653"/>
      <c r="H1046" s="330">
        <f t="shared" si="96"/>
        <v>0</v>
      </c>
      <c r="J1046" s="652">
        <v>0</v>
      </c>
      <c r="K1046" s="653"/>
      <c r="L1046" s="330">
        <f t="shared" si="97"/>
        <v>0</v>
      </c>
      <c r="M1046" s="2"/>
      <c r="N1046" s="2"/>
      <c r="O1046" s="2"/>
      <c r="P1046" s="2"/>
      <c r="Q1046" s="2"/>
      <c r="R1046" s="2"/>
      <c r="S1046" s="2"/>
      <c r="T1046" s="2"/>
      <c r="U1046" s="2"/>
      <c r="V1046" s="2"/>
      <c r="W1046" s="2"/>
      <c r="X1046" s="2"/>
      <c r="Y1046" s="2"/>
      <c r="Z1046" s="2"/>
      <c r="AA1046" s="2"/>
      <c r="AB1046" s="2"/>
      <c r="AC1046" s="2"/>
      <c r="AD1046" s="2"/>
      <c r="AE1046" s="2"/>
      <c r="AF1046" s="2"/>
      <c r="AG1046" s="2"/>
      <c r="AH1046" s="2"/>
      <c r="AI1046" s="2"/>
      <c r="AJ1046" s="2"/>
      <c r="AK1046" s="2"/>
    </row>
    <row r="1047" spans="2:37">
      <c r="B1047" s="324" t="s">
        <v>51</v>
      </c>
      <c r="C1047" s="338">
        <v>44</v>
      </c>
      <c r="D1047" s="339">
        <v>0</v>
      </c>
      <c r="E1047" s="327"/>
      <c r="F1047" s="654">
        <v>0</v>
      </c>
      <c r="G1047" s="655"/>
      <c r="H1047" s="332">
        <f t="shared" si="96"/>
        <v>0</v>
      </c>
      <c r="J1047" s="654">
        <v>0</v>
      </c>
      <c r="K1047" s="655"/>
      <c r="L1047" s="332">
        <f t="shared" si="97"/>
        <v>0</v>
      </c>
      <c r="M1047" s="2"/>
      <c r="N1047" s="2"/>
      <c r="O1047" s="2"/>
      <c r="P1047" s="2"/>
      <c r="Q1047" s="2"/>
      <c r="R1047" s="2"/>
      <c r="S1047" s="2"/>
      <c r="T1047" s="2"/>
      <c r="U1047" s="2"/>
      <c r="V1047" s="2"/>
      <c r="W1047" s="2"/>
      <c r="X1047" s="2"/>
      <c r="Y1047" s="2"/>
      <c r="Z1047" s="2"/>
      <c r="AA1047" s="2"/>
      <c r="AB1047" s="2"/>
      <c r="AC1047" s="2"/>
      <c r="AD1047" s="2"/>
      <c r="AE1047" s="2"/>
      <c r="AF1047" s="2"/>
      <c r="AG1047" s="2"/>
      <c r="AH1047" s="2"/>
      <c r="AI1047" s="2"/>
      <c r="AJ1047" s="2"/>
      <c r="AK1047" s="2"/>
    </row>
    <row r="1048" spans="2:37">
      <c r="B1048" s="45" t="s">
        <v>52</v>
      </c>
      <c r="C1048" s="340">
        <v>45</v>
      </c>
      <c r="D1048" s="341">
        <v>0</v>
      </c>
      <c r="E1048" s="327"/>
      <c r="F1048" s="652">
        <v>0</v>
      </c>
      <c r="G1048" s="653"/>
      <c r="H1048" s="330">
        <f t="shared" si="96"/>
        <v>0</v>
      </c>
      <c r="J1048" s="652">
        <v>0</v>
      </c>
      <c r="K1048" s="653"/>
      <c r="L1048" s="330">
        <f t="shared" si="97"/>
        <v>0</v>
      </c>
      <c r="M1048" s="2"/>
      <c r="N1048" s="2"/>
      <c r="O1048" s="2"/>
      <c r="P1048" s="2"/>
      <c r="Q1048" s="2"/>
      <c r="R1048" s="2"/>
      <c r="S1048" s="2"/>
      <c r="T1048" s="2"/>
      <c r="U1048" s="2"/>
      <c r="V1048" s="2"/>
      <c r="W1048" s="2"/>
      <c r="X1048" s="2"/>
      <c r="Y1048" s="2"/>
      <c r="Z1048" s="2"/>
      <c r="AA1048" s="2"/>
      <c r="AB1048" s="2"/>
      <c r="AC1048" s="2"/>
      <c r="AD1048" s="2"/>
      <c r="AE1048" s="2"/>
      <c r="AF1048" s="2"/>
      <c r="AG1048" s="2"/>
      <c r="AH1048" s="2"/>
      <c r="AI1048" s="2"/>
      <c r="AJ1048" s="2"/>
      <c r="AK1048" s="2"/>
    </row>
    <row r="1049" spans="2:37">
      <c r="B1049" s="342" t="s">
        <v>72</v>
      </c>
      <c r="C1049" s="343">
        <v>46</v>
      </c>
      <c r="D1049" s="344">
        <v>0</v>
      </c>
      <c r="E1049" s="327"/>
      <c r="F1049" s="654">
        <v>0</v>
      </c>
      <c r="G1049" s="655"/>
      <c r="H1049" s="332">
        <f t="shared" si="96"/>
        <v>0</v>
      </c>
      <c r="J1049" s="676"/>
      <c r="K1049" s="677"/>
      <c r="L1049" s="345"/>
      <c r="M1049" s="2"/>
      <c r="N1049" s="2"/>
      <c r="O1049" s="2"/>
      <c r="P1049" s="2"/>
      <c r="Q1049" s="2"/>
      <c r="R1049" s="2"/>
      <c r="S1049" s="2"/>
      <c r="T1049" s="2"/>
      <c r="U1049" s="2"/>
      <c r="V1049" s="2"/>
      <c r="W1049" s="2"/>
      <c r="X1049" s="2"/>
      <c r="Y1049" s="2"/>
      <c r="Z1049" s="2"/>
      <c r="AA1049" s="2"/>
      <c r="AB1049" s="2"/>
      <c r="AC1049" s="2"/>
      <c r="AD1049" s="2"/>
      <c r="AE1049" s="2"/>
      <c r="AF1049" s="2"/>
      <c r="AG1049" s="2"/>
      <c r="AH1049" s="2"/>
      <c r="AI1049" s="2"/>
      <c r="AJ1049" s="2"/>
      <c r="AK1049" s="2"/>
    </row>
    <row r="1050" spans="2:37">
      <c r="B1050" s="45" t="s">
        <v>54</v>
      </c>
      <c r="C1050" s="340"/>
      <c r="D1050" s="341">
        <v>0</v>
      </c>
      <c r="E1050" s="327"/>
      <c r="F1050" s="652">
        <v>0</v>
      </c>
      <c r="G1050" s="653"/>
      <c r="H1050" s="330">
        <f t="shared" si="96"/>
        <v>0</v>
      </c>
      <c r="J1050" s="652">
        <v>0</v>
      </c>
      <c r="K1050" s="653"/>
      <c r="L1050" s="330">
        <f>IF(F1050=0,0,((J1050-F1050)/F1050))</f>
        <v>0</v>
      </c>
      <c r="M1050" s="2"/>
      <c r="N1050" s="2"/>
      <c r="O1050" s="2"/>
      <c r="P1050" s="2"/>
      <c r="Q1050" s="2"/>
      <c r="R1050" s="2"/>
      <c r="S1050" s="2"/>
      <c r="T1050" s="2"/>
      <c r="U1050" s="2"/>
      <c r="V1050" s="2"/>
      <c r="W1050" s="2"/>
      <c r="X1050" s="2"/>
      <c r="Y1050" s="2"/>
      <c r="Z1050" s="2"/>
      <c r="AA1050" s="2"/>
      <c r="AB1050" s="2"/>
      <c r="AC1050" s="2"/>
      <c r="AD1050" s="2"/>
      <c r="AE1050" s="2"/>
      <c r="AF1050" s="2"/>
      <c r="AG1050" s="2"/>
      <c r="AH1050" s="2"/>
      <c r="AI1050" s="2"/>
      <c r="AJ1050" s="2"/>
      <c r="AK1050" s="2"/>
    </row>
    <row r="1051" spans="2:37">
      <c r="B1051" s="342" t="s">
        <v>55</v>
      </c>
      <c r="C1051" s="343">
        <v>53</v>
      </c>
      <c r="D1051" s="344">
        <v>0</v>
      </c>
      <c r="E1051" s="327"/>
      <c r="F1051" s="654">
        <v>0</v>
      </c>
      <c r="G1051" s="655"/>
      <c r="H1051" s="332">
        <f t="shared" si="96"/>
        <v>0</v>
      </c>
      <c r="J1051" s="678"/>
      <c r="K1051" s="679"/>
      <c r="L1051" s="347"/>
      <c r="M1051" s="2"/>
      <c r="N1051" s="2"/>
      <c r="O1051" s="2"/>
      <c r="P1051" s="2"/>
      <c r="Q1051" s="2"/>
      <c r="R1051" s="2"/>
      <c r="S1051" s="2"/>
      <c r="T1051" s="2"/>
      <c r="U1051" s="2"/>
      <c r="V1051" s="2"/>
      <c r="W1051" s="2"/>
      <c r="X1051" s="2"/>
      <c r="Y1051" s="2"/>
      <c r="Z1051" s="2"/>
      <c r="AA1051" s="2"/>
      <c r="AB1051" s="2"/>
      <c r="AC1051" s="2"/>
      <c r="AD1051" s="2"/>
      <c r="AE1051" s="2"/>
      <c r="AF1051" s="2"/>
      <c r="AG1051" s="2"/>
      <c r="AH1051" s="2"/>
      <c r="AI1051" s="2"/>
      <c r="AJ1051" s="2"/>
      <c r="AK1051" s="2"/>
    </row>
    <row r="1052" spans="2:37">
      <c r="B1052" s="45" t="s">
        <v>78</v>
      </c>
      <c r="C1052" s="340">
        <v>54</v>
      </c>
      <c r="D1052" s="341">
        <v>0</v>
      </c>
      <c r="E1052" s="327"/>
      <c r="F1052" s="652">
        <v>0</v>
      </c>
      <c r="G1052" s="653"/>
      <c r="H1052" s="330">
        <f t="shared" si="96"/>
        <v>0</v>
      </c>
      <c r="J1052" s="680"/>
      <c r="K1052" s="681"/>
      <c r="L1052" s="348"/>
      <c r="M1052" s="2"/>
      <c r="N1052" s="2"/>
      <c r="O1052" s="2"/>
      <c r="P1052" s="2"/>
      <c r="Q1052" s="2"/>
      <c r="R1052" s="2"/>
      <c r="S1052" s="2"/>
      <c r="T1052" s="2"/>
      <c r="U1052" s="2"/>
      <c r="V1052" s="2"/>
      <c r="W1052" s="2"/>
      <c r="X1052" s="2"/>
      <c r="Y1052" s="2"/>
      <c r="Z1052" s="2"/>
      <c r="AA1052" s="2"/>
      <c r="AB1052" s="2"/>
      <c r="AC1052" s="2"/>
      <c r="AD1052" s="2"/>
      <c r="AE1052" s="2"/>
      <c r="AF1052" s="2"/>
      <c r="AG1052" s="2"/>
      <c r="AH1052" s="2"/>
      <c r="AI1052" s="2"/>
      <c r="AJ1052" s="2"/>
      <c r="AK1052" s="2"/>
    </row>
    <row r="1053" spans="2:37">
      <c r="B1053" s="342" t="s">
        <v>57</v>
      </c>
      <c r="C1053" s="343"/>
      <c r="D1053" s="344">
        <v>0</v>
      </c>
      <c r="E1053" s="327"/>
      <c r="F1053" s="654">
        <v>0</v>
      </c>
      <c r="G1053" s="655"/>
      <c r="H1053" s="332">
        <f t="shared" si="96"/>
        <v>0</v>
      </c>
      <c r="J1053" s="682"/>
      <c r="K1053" s="683"/>
      <c r="L1053" s="349"/>
      <c r="M1053" s="2"/>
      <c r="N1053" s="2"/>
      <c r="O1053" s="2"/>
      <c r="P1053" s="2"/>
      <c r="Q1053" s="2"/>
      <c r="R1053" s="2"/>
      <c r="S1053" s="2"/>
      <c r="T1053" s="2"/>
      <c r="U1053" s="2"/>
      <c r="V1053" s="2"/>
      <c r="W1053" s="2"/>
      <c r="X1053" s="2"/>
      <c r="Y1053" s="2"/>
      <c r="Z1053" s="2"/>
      <c r="AA1053" s="2"/>
      <c r="AB1053" s="2"/>
      <c r="AC1053" s="2"/>
      <c r="AD1053" s="2"/>
      <c r="AE1053" s="2"/>
      <c r="AF1053" s="2"/>
      <c r="AG1053" s="2"/>
      <c r="AH1053" s="2"/>
      <c r="AI1053" s="2"/>
      <c r="AJ1053" s="2"/>
      <c r="AK1053" s="2"/>
    </row>
    <row r="1054" spans="2:37">
      <c r="B1054" s="350" t="str">
        <f>B1118</f>
        <v>Bond and Interest #1</v>
      </c>
      <c r="C1054" s="340">
        <v>62</v>
      </c>
      <c r="D1054" s="341">
        <v>0</v>
      </c>
      <c r="E1054" s="327"/>
      <c r="F1054" s="652">
        <v>0</v>
      </c>
      <c r="G1054" s="653"/>
      <c r="H1054" s="330">
        <f t="shared" si="96"/>
        <v>0</v>
      </c>
      <c r="J1054" s="652">
        <v>0</v>
      </c>
      <c r="K1054" s="653"/>
      <c r="L1054" s="330">
        <f t="shared" ref="L1054:L1065" si="98">IF(F1054=0,0,((J1054-F1054)/F1054))</f>
        <v>0</v>
      </c>
      <c r="M1054" s="2"/>
      <c r="N1054" s="2"/>
      <c r="O1054" s="2"/>
      <c r="P1054" s="2"/>
      <c r="Q1054" s="2"/>
      <c r="R1054" s="2"/>
      <c r="S1054" s="2"/>
      <c r="T1054" s="2"/>
      <c r="U1054" s="2"/>
      <c r="V1054" s="2"/>
      <c r="W1054" s="2"/>
      <c r="X1054" s="2"/>
      <c r="Y1054" s="2"/>
      <c r="Z1054" s="2"/>
      <c r="AA1054" s="2"/>
      <c r="AB1054" s="2"/>
      <c r="AC1054" s="2"/>
      <c r="AD1054" s="2"/>
      <c r="AE1054" s="2"/>
      <c r="AF1054" s="2"/>
      <c r="AG1054" s="2"/>
      <c r="AH1054" s="2"/>
      <c r="AI1054" s="2"/>
      <c r="AJ1054" s="2"/>
      <c r="AK1054" s="2"/>
    </row>
    <row r="1055" spans="2:37">
      <c r="B1055" s="351" t="str">
        <f>B1119</f>
        <v>Bond and Interest #2</v>
      </c>
      <c r="C1055" s="343">
        <v>63</v>
      </c>
      <c r="D1055" s="344">
        <v>0</v>
      </c>
      <c r="E1055" s="327"/>
      <c r="F1055" s="654">
        <v>0</v>
      </c>
      <c r="G1055" s="655"/>
      <c r="H1055" s="332">
        <f t="shared" si="96"/>
        <v>0</v>
      </c>
      <c r="J1055" s="654">
        <v>0</v>
      </c>
      <c r="K1055" s="655"/>
      <c r="L1055" s="332">
        <f t="shared" si="98"/>
        <v>0</v>
      </c>
      <c r="M1055" s="2"/>
      <c r="N1055" s="2"/>
      <c r="O1055" s="2"/>
      <c r="P1055" s="2"/>
      <c r="Q1055" s="2"/>
      <c r="R1055" s="2"/>
      <c r="S1055" s="2"/>
      <c r="T1055" s="2"/>
      <c r="U1055" s="2"/>
      <c r="V1055" s="2"/>
      <c r="W1055" s="2"/>
      <c r="X1055" s="2"/>
      <c r="Y1055" s="2"/>
      <c r="Z1055" s="2"/>
      <c r="AA1055" s="2"/>
      <c r="AB1055" s="2"/>
      <c r="AC1055" s="2"/>
      <c r="AD1055" s="2"/>
      <c r="AE1055" s="2"/>
      <c r="AF1055" s="2"/>
      <c r="AG1055" s="2"/>
      <c r="AH1055" s="2"/>
      <c r="AI1055" s="2"/>
      <c r="AJ1055" s="2"/>
      <c r="AK1055" s="2"/>
    </row>
    <row r="1056" spans="2:37">
      <c r="B1056" s="45" t="s">
        <v>58</v>
      </c>
      <c r="C1056" s="340">
        <v>66</v>
      </c>
      <c r="D1056" s="341">
        <v>0</v>
      </c>
      <c r="E1056" s="327"/>
      <c r="F1056" s="652">
        <v>0</v>
      </c>
      <c r="G1056" s="653"/>
      <c r="H1056" s="330">
        <f t="shared" si="96"/>
        <v>0</v>
      </c>
      <c r="J1056" s="652">
        <v>0</v>
      </c>
      <c r="K1056" s="653"/>
      <c r="L1056" s="330">
        <f t="shared" si="98"/>
        <v>0</v>
      </c>
      <c r="M1056" s="2"/>
      <c r="R1056" s="2"/>
      <c r="S1056" s="2"/>
      <c r="T1056" s="2"/>
      <c r="U1056" s="2"/>
      <c r="V1056" s="2"/>
      <c r="W1056" s="2"/>
      <c r="X1056" s="2"/>
      <c r="Y1056" s="2"/>
      <c r="Z1056" s="2"/>
      <c r="AA1056" s="2"/>
      <c r="AB1056" s="2"/>
      <c r="AC1056" s="2"/>
      <c r="AD1056" s="2"/>
      <c r="AE1056" s="2"/>
      <c r="AF1056" s="2"/>
      <c r="AG1056" s="2"/>
      <c r="AH1056" s="2"/>
      <c r="AI1056" s="2"/>
      <c r="AJ1056" s="2"/>
      <c r="AK1056" s="2"/>
    </row>
    <row r="1057" spans="2:37">
      <c r="B1057" s="342" t="s">
        <v>59</v>
      </c>
      <c r="C1057" s="343"/>
      <c r="D1057" s="346">
        <f>[1]C067!$C$34</f>
        <v>0</v>
      </c>
      <c r="E1057" s="327"/>
      <c r="F1057" s="656">
        <f>[1]C067!$D$34</f>
        <v>0</v>
      </c>
      <c r="G1057" s="655"/>
      <c r="H1057" s="332">
        <f t="shared" si="96"/>
        <v>0</v>
      </c>
      <c r="J1057" s="656">
        <f>[1]C067!$E$34</f>
        <v>0</v>
      </c>
      <c r="K1057" s="655"/>
      <c r="L1057" s="332">
        <f t="shared" si="98"/>
        <v>0</v>
      </c>
      <c r="M1057" s="2"/>
      <c r="R1057" s="2"/>
      <c r="S1057" s="2"/>
      <c r="T1057" s="2"/>
      <c r="U1057" s="2"/>
      <c r="V1057" s="2"/>
      <c r="W1057" s="2"/>
      <c r="X1057" s="2"/>
      <c r="Y1057" s="2"/>
      <c r="Z1057" s="2"/>
      <c r="AA1057" s="2"/>
      <c r="AB1057" s="2"/>
      <c r="AC1057" s="2"/>
      <c r="AD1057" s="2"/>
      <c r="AE1057" s="2"/>
      <c r="AF1057" s="2"/>
      <c r="AG1057" s="2"/>
      <c r="AH1057" s="2"/>
      <c r="AI1057" s="2"/>
      <c r="AJ1057" s="2"/>
      <c r="AK1057" s="2"/>
    </row>
    <row r="1058" spans="2:37" ht="15" thickBot="1">
      <c r="B1058" s="45" t="s">
        <v>60</v>
      </c>
      <c r="C1058" s="340">
        <v>68</v>
      </c>
      <c r="D1058" s="341">
        <v>0</v>
      </c>
      <c r="E1058" s="327"/>
      <c r="F1058" s="669">
        <v>0</v>
      </c>
      <c r="G1058" s="670"/>
      <c r="H1058" s="247">
        <f t="shared" si="96"/>
        <v>0</v>
      </c>
      <c r="J1058" s="669">
        <v>0</v>
      </c>
      <c r="K1058" s="670"/>
      <c r="L1058" s="247">
        <f t="shared" si="98"/>
        <v>0</v>
      </c>
      <c r="M1058" s="2"/>
      <c r="R1058" s="2"/>
      <c r="S1058" s="2"/>
      <c r="T1058" s="2"/>
      <c r="U1058" s="2"/>
      <c r="V1058" s="2"/>
      <c r="W1058" s="2"/>
      <c r="X1058" s="2"/>
      <c r="Y1058" s="2"/>
      <c r="Z1058" s="2"/>
      <c r="AA1058" s="2"/>
      <c r="AB1058" s="2"/>
      <c r="AC1058" s="2"/>
      <c r="AD1058" s="2"/>
      <c r="AE1058" s="2"/>
      <c r="AF1058" s="2"/>
      <c r="AG1058" s="2"/>
      <c r="AH1058" s="2"/>
      <c r="AI1058" s="2"/>
      <c r="AJ1058" s="2"/>
      <c r="AK1058" s="2"/>
    </row>
    <row r="1059" spans="2:37" ht="15" thickTop="1">
      <c r="B1059" s="353" t="s">
        <v>61</v>
      </c>
      <c r="C1059" s="353"/>
      <c r="D1059" s="371">
        <f>SUM(D1027:D1058)</f>
        <v>39926</v>
      </c>
      <c r="E1059" s="327"/>
      <c r="F1059" s="667">
        <f>SUM(F1027:G1058)</f>
        <v>0</v>
      </c>
      <c r="G1059" s="668"/>
      <c r="H1059" s="372">
        <f t="shared" si="96"/>
        <v>-1</v>
      </c>
      <c r="J1059" s="667">
        <f>SUM(J1027:K1058)</f>
        <v>25000</v>
      </c>
      <c r="K1059" s="668"/>
      <c r="L1059" s="372">
        <f t="shared" si="98"/>
        <v>0</v>
      </c>
      <c r="M1059" s="2"/>
      <c r="N1059" s="2"/>
      <c r="O1059" s="2"/>
      <c r="P1059" s="2"/>
      <c r="Q1059" s="2"/>
      <c r="R1059" s="2"/>
      <c r="S1059" s="2"/>
      <c r="T1059" s="2"/>
      <c r="U1059" s="2"/>
      <c r="V1059" s="2"/>
      <c r="W1059" s="2"/>
      <c r="X1059" s="2"/>
      <c r="Y1059" s="2"/>
      <c r="Z1059" s="2"/>
      <c r="AA1059" s="2"/>
      <c r="AB1059" s="2"/>
      <c r="AC1059" s="2"/>
      <c r="AD1059" s="2"/>
      <c r="AE1059" s="2"/>
      <c r="AF1059" s="2"/>
      <c r="AG1059" s="2"/>
      <c r="AH1059" s="2"/>
      <c r="AI1059" s="2"/>
      <c r="AJ1059" s="2"/>
      <c r="AK1059" s="2"/>
    </row>
    <row r="1060" spans="2:37" ht="15.75">
      <c r="B1060" s="45" t="s">
        <v>181</v>
      </c>
      <c r="C1060" s="45"/>
      <c r="D1060" s="356">
        <f>G1312</f>
        <v>70.7</v>
      </c>
      <c r="E1060" s="327"/>
      <c r="F1060" s="665">
        <f>I1312</f>
        <v>82.5</v>
      </c>
      <c r="G1060" s="666"/>
      <c r="H1060" s="247">
        <f t="shared" si="96"/>
        <v>0.17</v>
      </c>
      <c r="J1060" s="665">
        <f>K1312</f>
        <v>70</v>
      </c>
      <c r="K1060" s="666"/>
      <c r="L1060" s="247">
        <f t="shared" si="98"/>
        <v>-0.15</v>
      </c>
      <c r="M1060" s="2"/>
      <c r="N1060" s="2"/>
      <c r="O1060" s="2"/>
      <c r="P1060" s="2"/>
      <c r="Q1060" s="2"/>
      <c r="R1060" s="2"/>
      <c r="S1060" s="2"/>
      <c r="T1060" s="2"/>
      <c r="U1060" s="2"/>
      <c r="V1060" s="2"/>
      <c r="W1060" s="2"/>
      <c r="X1060" s="2"/>
      <c r="Y1060" s="2"/>
      <c r="Z1060" s="2"/>
      <c r="AA1060" s="2"/>
      <c r="AB1060" s="2"/>
      <c r="AC1060" s="2"/>
      <c r="AD1060" s="2"/>
      <c r="AE1060" s="2"/>
      <c r="AF1060" s="2"/>
      <c r="AG1060" s="2"/>
      <c r="AH1060" s="2"/>
      <c r="AI1060" s="2"/>
      <c r="AJ1060" s="2"/>
      <c r="AK1060" s="2"/>
    </row>
    <row r="1061" spans="2:37" ht="16.5" thickBot="1">
      <c r="B1061" s="342" t="s">
        <v>182</v>
      </c>
      <c r="C1061" s="342"/>
      <c r="D1061" s="346">
        <f>IF(D1059=0,0,D1059/D1060)</f>
        <v>565</v>
      </c>
      <c r="E1061" s="327"/>
      <c r="F1061" s="663">
        <f>IF(F1059=0,0,F1059/F1060)</f>
        <v>0</v>
      </c>
      <c r="G1061" s="664"/>
      <c r="H1061" s="357">
        <f t="shared" si="96"/>
        <v>-1</v>
      </c>
      <c r="J1061" s="663">
        <f>IF(J1059=0,0,J1059/J1060)</f>
        <v>357</v>
      </c>
      <c r="K1061" s="664"/>
      <c r="L1061" s="357">
        <f t="shared" si="98"/>
        <v>0</v>
      </c>
      <c r="M1061" s="2"/>
      <c r="N1061" s="2"/>
      <c r="O1061" s="2"/>
      <c r="P1061" s="2"/>
      <c r="Q1061" s="2"/>
      <c r="R1061" s="2"/>
      <c r="S1061" s="2"/>
      <c r="T1061" s="2"/>
      <c r="U1061" s="2"/>
      <c r="V1061" s="2"/>
      <c r="W1061" s="2"/>
      <c r="X1061" s="2"/>
      <c r="Y1061" s="2"/>
      <c r="Z1061" s="2"/>
      <c r="AA1061" s="2"/>
      <c r="AB1061" s="2"/>
      <c r="AC1061" s="2"/>
      <c r="AD1061" s="2"/>
      <c r="AE1061" s="2"/>
      <c r="AF1061" s="2"/>
      <c r="AG1061" s="2"/>
      <c r="AH1061" s="2"/>
      <c r="AI1061" s="2"/>
      <c r="AJ1061" s="2"/>
      <c r="AK1061" s="2"/>
    </row>
    <row r="1062" spans="2:37">
      <c r="B1062" s="358" t="s">
        <v>63</v>
      </c>
      <c r="C1062" s="358">
        <v>10</v>
      </c>
      <c r="D1062" s="389">
        <v>0</v>
      </c>
      <c r="E1062" s="327"/>
      <c r="F1062" s="661">
        <v>0</v>
      </c>
      <c r="G1062" s="662"/>
      <c r="H1062" s="360">
        <f t="shared" si="96"/>
        <v>0</v>
      </c>
      <c r="J1062" s="661">
        <v>0</v>
      </c>
      <c r="K1062" s="662"/>
      <c r="L1062" s="360">
        <f t="shared" si="98"/>
        <v>0</v>
      </c>
      <c r="M1062" s="2"/>
      <c r="N1062" s="2"/>
      <c r="S1062" s="2"/>
      <c r="T1062" s="2"/>
      <c r="U1062" s="2"/>
      <c r="V1062" s="2"/>
      <c r="W1062" s="2"/>
      <c r="X1062" s="2"/>
      <c r="Y1062" s="2"/>
      <c r="Z1062" s="2"/>
      <c r="AA1062" s="2"/>
      <c r="AB1062" s="2"/>
      <c r="AC1062" s="2"/>
      <c r="AD1062" s="2"/>
      <c r="AE1062" s="2"/>
      <c r="AF1062" s="2"/>
      <c r="AG1062" s="2"/>
      <c r="AH1062" s="2"/>
      <c r="AI1062" s="2"/>
      <c r="AJ1062" s="2"/>
      <c r="AK1062" s="2"/>
    </row>
    <row r="1063" spans="2:37">
      <c r="B1063" s="342" t="s">
        <v>64</v>
      </c>
      <c r="C1063" s="342">
        <v>12</v>
      </c>
      <c r="D1063" s="339">
        <v>0</v>
      </c>
      <c r="E1063" s="327"/>
      <c r="F1063" s="654">
        <v>0</v>
      </c>
      <c r="G1063" s="655"/>
      <c r="H1063" s="332">
        <f t="shared" si="96"/>
        <v>0</v>
      </c>
      <c r="J1063" s="654">
        <v>0</v>
      </c>
      <c r="K1063" s="655"/>
      <c r="L1063" s="332">
        <f t="shared" si="98"/>
        <v>0</v>
      </c>
      <c r="M1063" s="2"/>
      <c r="N1063" s="2"/>
      <c r="S1063" s="2"/>
      <c r="T1063" s="2"/>
      <c r="U1063" s="2"/>
      <c r="V1063" s="2"/>
      <c r="W1063" s="2"/>
      <c r="X1063" s="2"/>
      <c r="Y1063" s="2"/>
      <c r="Z1063" s="2"/>
      <c r="AA1063" s="2"/>
      <c r="AB1063" s="2"/>
      <c r="AC1063" s="2"/>
      <c r="AD1063" s="2"/>
      <c r="AE1063" s="2"/>
      <c r="AF1063" s="2"/>
      <c r="AG1063" s="2"/>
      <c r="AH1063" s="2"/>
      <c r="AI1063" s="2"/>
      <c r="AJ1063" s="2"/>
      <c r="AK1063" s="2"/>
    </row>
    <row r="1064" spans="2:37" ht="15" thickBot="1">
      <c r="B1064" s="361" t="s">
        <v>65</v>
      </c>
      <c r="C1064" s="361">
        <v>78</v>
      </c>
      <c r="D1064" s="391">
        <v>0</v>
      </c>
      <c r="E1064" s="327"/>
      <c r="F1064" s="659">
        <v>0</v>
      </c>
      <c r="G1064" s="660"/>
      <c r="H1064" s="363">
        <f t="shared" si="96"/>
        <v>0</v>
      </c>
      <c r="J1064" s="659">
        <v>0</v>
      </c>
      <c r="K1064" s="660"/>
      <c r="L1064" s="363">
        <f t="shared" si="98"/>
        <v>0</v>
      </c>
      <c r="M1064" s="2"/>
      <c r="N1064" s="2"/>
      <c r="O1064" s="2"/>
      <c r="P1064" s="2"/>
      <c r="Q1064" s="2"/>
      <c r="R1064" s="2"/>
      <c r="S1064" s="2"/>
      <c r="T1064" s="2"/>
      <c r="U1064" s="2"/>
      <c r="V1064" s="2"/>
      <c r="W1064" s="2"/>
      <c r="X1064" s="2"/>
      <c r="Y1064" s="2"/>
      <c r="Z1064" s="2"/>
      <c r="AA1064" s="2"/>
      <c r="AB1064" s="2"/>
      <c r="AC1064" s="2"/>
      <c r="AD1064" s="2"/>
      <c r="AE1064" s="2"/>
      <c r="AF1064" s="2"/>
      <c r="AG1064" s="2"/>
      <c r="AH1064" s="2"/>
      <c r="AI1064" s="2"/>
      <c r="AJ1064" s="2"/>
      <c r="AK1064" s="2"/>
    </row>
    <row r="1065" spans="2:37" ht="15" thickTop="1">
      <c r="B1065" s="365" t="s">
        <v>66</v>
      </c>
      <c r="C1065" s="365"/>
      <c r="D1065" s="373">
        <f>SUM(D1062:D1064,D1059)</f>
        <v>39926</v>
      </c>
      <c r="E1065" s="327"/>
      <c r="F1065" s="657">
        <f>SUM(F1062:G1064,F1059)</f>
        <v>0</v>
      </c>
      <c r="G1065" s="658"/>
      <c r="H1065" s="374">
        <f t="shared" si="96"/>
        <v>-1</v>
      </c>
      <c r="J1065" s="657">
        <f>SUM(J1062:K1064,J1059)</f>
        <v>25000</v>
      </c>
      <c r="K1065" s="658"/>
      <c r="L1065" s="374">
        <f t="shared" si="98"/>
        <v>0</v>
      </c>
      <c r="M1065" s="2"/>
      <c r="N1065" s="2"/>
      <c r="O1065" s="2"/>
      <c r="P1065" s="2"/>
      <c r="Q1065" s="2"/>
      <c r="R1065" s="2"/>
      <c r="S1065" s="2"/>
      <c r="T1065" s="2"/>
      <c r="U1065" s="2"/>
      <c r="V1065" s="2"/>
      <c r="W1065" s="2"/>
      <c r="X1065" s="2"/>
      <c r="Y1065" s="2"/>
      <c r="Z1065" s="2"/>
      <c r="AA1065" s="2"/>
      <c r="AB1065" s="2"/>
      <c r="AC1065" s="2"/>
      <c r="AD1065" s="2"/>
      <c r="AE1065" s="2"/>
      <c r="AF1065" s="2"/>
      <c r="AG1065" s="2"/>
      <c r="AH1065" s="2"/>
      <c r="AI1065" s="2"/>
      <c r="AJ1065" s="2"/>
      <c r="AK1065" s="2"/>
    </row>
    <row r="1066" spans="2:37" ht="6.75" customHeight="1">
      <c r="B1066" s="2"/>
      <c r="C1066" s="2"/>
      <c r="D1066" s="159"/>
      <c r="E1066" s="2"/>
      <c r="F1066" s="159"/>
      <c r="G1066" s="201"/>
      <c r="H1066" s="2"/>
      <c r="I1066" s="159"/>
      <c r="J1066" s="201"/>
      <c r="K1066" s="2"/>
      <c r="L1066" s="2"/>
      <c r="M1066" s="2"/>
      <c r="N1066" s="2"/>
      <c r="O1066" s="2"/>
      <c r="P1066" s="2"/>
      <c r="Q1066" s="2"/>
      <c r="R1066" s="2"/>
      <c r="S1066" s="2"/>
      <c r="T1066" s="2"/>
      <c r="U1066" s="2"/>
      <c r="V1066" s="2"/>
      <c r="W1066" s="2"/>
      <c r="X1066" s="2"/>
      <c r="Y1066" s="2"/>
      <c r="Z1066" s="2"/>
      <c r="AA1066" s="2"/>
      <c r="AB1066" s="2"/>
      <c r="AC1066" s="2"/>
      <c r="AD1066" s="2"/>
      <c r="AE1066" s="2"/>
      <c r="AF1066" s="2"/>
      <c r="AG1066" s="2"/>
      <c r="AH1066" s="2"/>
      <c r="AI1066" s="2"/>
      <c r="AJ1066" s="2"/>
      <c r="AK1066" s="2"/>
    </row>
    <row r="1067" spans="2:37">
      <c r="B1067" s="650"/>
      <c r="C1067" s="650"/>
      <c r="D1067" s="650"/>
      <c r="E1067" s="650"/>
      <c r="F1067" s="650"/>
      <c r="G1067" s="650"/>
      <c r="H1067" s="650"/>
      <c r="I1067" s="650"/>
      <c r="J1067" s="650"/>
      <c r="K1067" s="650"/>
      <c r="L1067" s="650"/>
      <c r="M1067" s="2"/>
      <c r="N1067" s="2"/>
      <c r="O1067" s="2"/>
      <c r="P1067" s="2"/>
      <c r="Q1067" s="2"/>
      <c r="R1067" s="2"/>
      <c r="S1067" s="2"/>
      <c r="T1067" s="2"/>
      <c r="U1067" s="2"/>
      <c r="V1067" s="2"/>
      <c r="W1067" s="2"/>
      <c r="X1067" s="2"/>
      <c r="Y1067" s="2"/>
      <c r="Z1067" s="2"/>
      <c r="AA1067" s="2"/>
      <c r="AB1067" s="2"/>
      <c r="AC1067" s="2"/>
      <c r="AD1067" s="2"/>
      <c r="AE1067" s="2"/>
      <c r="AF1067" s="2"/>
      <c r="AG1067" s="2"/>
      <c r="AH1067" s="2"/>
      <c r="AI1067" s="2"/>
      <c r="AJ1067" s="2"/>
      <c r="AK1067" s="2"/>
    </row>
    <row r="1068" spans="2:37">
      <c r="B1068" s="650"/>
      <c r="C1068" s="650"/>
      <c r="D1068" s="650"/>
      <c r="E1068" s="650"/>
      <c r="F1068" s="650"/>
      <c r="G1068" s="650"/>
      <c r="H1068" s="650"/>
      <c r="I1068" s="650"/>
      <c r="J1068" s="650"/>
      <c r="K1068" s="650"/>
      <c r="L1068" s="650"/>
      <c r="M1068" s="2"/>
      <c r="N1068" s="2"/>
      <c r="O1068" s="2"/>
      <c r="P1068" s="2"/>
      <c r="Q1068" s="2"/>
      <c r="R1068" s="2"/>
      <c r="S1068" s="2"/>
      <c r="T1068" s="2"/>
      <c r="U1068" s="2"/>
      <c r="V1068" s="2"/>
      <c r="W1068" s="2"/>
      <c r="X1068" s="2"/>
      <c r="Y1068" s="2"/>
      <c r="Z1068" s="2"/>
      <c r="AA1068" s="2"/>
      <c r="AB1068" s="2"/>
      <c r="AC1068" s="2"/>
      <c r="AD1068" s="2"/>
      <c r="AE1068" s="2"/>
      <c r="AF1068" s="2"/>
      <c r="AG1068" s="2"/>
      <c r="AH1068" s="2"/>
      <c r="AI1068" s="2"/>
      <c r="AJ1068" s="2"/>
      <c r="AK1068" s="2"/>
    </row>
    <row r="1069" spans="2:37">
      <c r="B1069" s="650"/>
      <c r="C1069" s="650"/>
      <c r="D1069" s="650"/>
      <c r="E1069" s="650"/>
      <c r="F1069" s="650"/>
      <c r="G1069" s="650"/>
      <c r="H1069" s="650"/>
      <c r="I1069" s="650"/>
      <c r="J1069" s="650"/>
      <c r="K1069" s="650"/>
      <c r="L1069" s="650"/>
      <c r="M1069" s="2"/>
      <c r="N1069" s="2"/>
      <c r="O1069" s="2"/>
      <c r="P1069" s="2"/>
      <c r="Q1069" s="2"/>
      <c r="R1069" s="2"/>
      <c r="S1069" s="2"/>
      <c r="T1069" s="2"/>
      <c r="U1069" s="2"/>
      <c r="V1069" s="2"/>
      <c r="W1069" s="2"/>
      <c r="X1069" s="2"/>
      <c r="Y1069" s="2"/>
      <c r="Z1069" s="2"/>
      <c r="AA1069" s="2"/>
      <c r="AB1069" s="2"/>
      <c r="AC1069" s="2"/>
      <c r="AD1069" s="2"/>
      <c r="AE1069" s="2"/>
      <c r="AF1069" s="2"/>
      <c r="AG1069" s="2"/>
      <c r="AH1069" s="2"/>
      <c r="AI1069" s="2"/>
      <c r="AJ1069" s="2"/>
      <c r="AK1069" s="2"/>
    </row>
    <row r="1070" spans="2:37">
      <c r="B1070" s="208"/>
      <c r="C1070" s="2"/>
      <c r="D1070" s="159"/>
      <c r="E1070" s="2"/>
      <c r="F1070" s="159"/>
      <c r="G1070" s="201"/>
      <c r="H1070" s="2"/>
      <c r="I1070" s="159"/>
      <c r="J1070" s="201"/>
      <c r="K1070" s="2"/>
      <c r="L1070" s="2"/>
      <c r="M1070" s="2"/>
      <c r="N1070" s="2"/>
      <c r="O1070" s="2"/>
      <c r="P1070" s="2"/>
      <c r="Q1070" s="2"/>
      <c r="R1070" s="2"/>
      <c r="S1070" s="2"/>
      <c r="T1070" s="2"/>
      <c r="U1070" s="2"/>
      <c r="V1070" s="2"/>
      <c r="W1070" s="2"/>
      <c r="X1070" s="2"/>
      <c r="Y1070" s="2"/>
      <c r="Z1070" s="2"/>
      <c r="AA1070" s="2"/>
      <c r="AB1070" s="2"/>
      <c r="AC1070" s="2"/>
      <c r="AD1070" s="2"/>
      <c r="AE1070" s="2"/>
      <c r="AF1070" s="2"/>
      <c r="AG1070" s="2"/>
      <c r="AH1070" s="2"/>
      <c r="AI1070" s="2"/>
      <c r="AJ1070" s="2"/>
      <c r="AK1070" s="2"/>
    </row>
    <row r="1071" spans="2:37">
      <c r="C1071" s="2"/>
      <c r="D1071" s="159"/>
      <c r="E1071" s="2"/>
      <c r="F1071" s="159"/>
      <c r="G1071" s="201"/>
      <c r="H1071" s="2"/>
      <c r="I1071" s="159"/>
      <c r="J1071" s="201"/>
      <c r="K1071" s="2"/>
      <c r="L1071" s="2"/>
      <c r="M1071" s="2"/>
      <c r="N1071" s="2"/>
      <c r="O1071" s="2"/>
      <c r="P1071" s="2"/>
      <c r="Q1071" s="2"/>
      <c r="R1071" s="2"/>
      <c r="S1071" s="2"/>
      <c r="T1071" s="2"/>
      <c r="U1071" s="2"/>
      <c r="V1071" s="2"/>
      <c r="W1071" s="2"/>
      <c r="X1071" s="2"/>
      <c r="Y1071" s="2"/>
      <c r="Z1071" s="2"/>
      <c r="AA1071" s="2"/>
      <c r="AB1071" s="2"/>
      <c r="AC1071" s="2"/>
      <c r="AD1071" s="2"/>
      <c r="AE1071" s="2"/>
      <c r="AF1071" s="2"/>
      <c r="AG1071" s="2"/>
      <c r="AH1071" s="2"/>
      <c r="AI1071" s="2"/>
      <c r="AJ1071" s="2"/>
      <c r="AK1071" s="2"/>
    </row>
    <row r="1072" spans="2:37">
      <c r="C1072" s="2"/>
      <c r="D1072" s="159"/>
      <c r="E1072" s="2"/>
      <c r="F1072" s="159"/>
      <c r="G1072" s="201"/>
      <c r="H1072" s="2"/>
      <c r="I1072" s="159"/>
      <c r="J1072" s="201"/>
      <c r="K1072" s="2"/>
      <c r="L1072" s="2"/>
      <c r="M1072" s="2"/>
      <c r="N1072" s="2"/>
      <c r="O1072" s="2"/>
      <c r="P1072" s="2"/>
      <c r="Q1072" s="2"/>
      <c r="R1072" s="2"/>
      <c r="S1072" s="2"/>
      <c r="T1072" s="2"/>
      <c r="U1072" s="2"/>
      <c r="V1072" s="2"/>
      <c r="W1072" s="2"/>
      <c r="X1072" s="2"/>
      <c r="Y1072" s="2"/>
      <c r="Z1072" s="2"/>
      <c r="AA1072" s="2"/>
      <c r="AB1072" s="2"/>
      <c r="AC1072" s="2"/>
      <c r="AD1072" s="2"/>
      <c r="AE1072" s="2"/>
      <c r="AF1072" s="2"/>
      <c r="AG1072" s="2"/>
      <c r="AH1072" s="2"/>
      <c r="AI1072" s="2"/>
      <c r="AJ1072" s="2"/>
      <c r="AK1072" s="2"/>
    </row>
    <row r="1073" spans="2:37">
      <c r="C1073" s="2"/>
      <c r="D1073" s="159"/>
      <c r="E1073" s="2"/>
      <c r="F1073" s="159"/>
      <c r="G1073" s="201"/>
      <c r="H1073" s="2"/>
      <c r="I1073" s="159"/>
      <c r="J1073" s="201"/>
      <c r="K1073" s="2"/>
      <c r="L1073" s="2"/>
      <c r="M1073" s="2"/>
      <c r="N1073" s="2"/>
      <c r="O1073" s="2"/>
      <c r="P1073" s="2"/>
      <c r="Q1073" s="2"/>
      <c r="R1073" s="2"/>
      <c r="S1073" s="2"/>
      <c r="T1073" s="2"/>
      <c r="U1073" s="2"/>
      <c r="V1073" s="2"/>
      <c r="W1073" s="2"/>
      <c r="X1073" s="2"/>
      <c r="Y1073" s="2"/>
      <c r="Z1073" s="2"/>
      <c r="AA1073" s="2"/>
      <c r="AB1073" s="2"/>
      <c r="AC1073" s="2"/>
      <c r="AD1073" s="2"/>
      <c r="AE1073" s="2"/>
      <c r="AF1073" s="2"/>
      <c r="AG1073" s="2"/>
      <c r="AH1073" s="2"/>
      <c r="AI1073" s="2"/>
      <c r="AJ1073" s="2"/>
      <c r="AK1073" s="2"/>
    </row>
    <row r="1074" spans="2:37">
      <c r="B1074" s="2"/>
      <c r="C1074" s="2"/>
      <c r="D1074" s="159"/>
      <c r="E1074" s="2"/>
      <c r="F1074" s="159"/>
      <c r="G1074" s="201"/>
      <c r="H1074" s="2"/>
      <c r="I1074" s="159"/>
      <c r="J1074" s="201"/>
      <c r="K1074" s="2"/>
      <c r="L1074" s="2"/>
      <c r="M1074" s="2"/>
      <c r="N1074" s="2"/>
      <c r="O1074" s="2"/>
      <c r="P1074" s="2"/>
      <c r="Q1074" s="2"/>
      <c r="R1074" s="2"/>
      <c r="S1074" s="2"/>
      <c r="T1074" s="2"/>
      <c r="U1074" s="2"/>
      <c r="V1074" s="2"/>
      <c r="W1074" s="2"/>
      <c r="X1074" s="2"/>
      <c r="Y1074" s="2"/>
      <c r="Z1074" s="2"/>
      <c r="AA1074" s="2"/>
      <c r="AB1074" s="2"/>
      <c r="AC1074" s="2"/>
      <c r="AD1074" s="2"/>
      <c r="AE1074" s="2"/>
      <c r="AF1074" s="2"/>
      <c r="AG1074" s="2"/>
      <c r="AH1074" s="2"/>
      <c r="AI1074" s="2"/>
      <c r="AJ1074" s="2"/>
      <c r="AK1074" s="2"/>
    </row>
    <row r="1075" spans="2:37">
      <c r="B1075" s="2"/>
      <c r="C1075" s="2"/>
      <c r="D1075" s="159"/>
      <c r="E1075" s="2"/>
      <c r="F1075" s="159"/>
      <c r="G1075" s="201"/>
      <c r="H1075" s="2"/>
      <c r="I1075" s="159"/>
      <c r="J1075" s="201"/>
      <c r="K1075" s="2"/>
      <c r="L1075" s="2"/>
      <c r="M1075" s="2"/>
      <c r="N1075" s="2"/>
      <c r="O1075" s="2"/>
      <c r="P1075" s="2"/>
      <c r="Q1075" s="2"/>
      <c r="R1075" s="2"/>
      <c r="S1075" s="2"/>
      <c r="T1075" s="2"/>
      <c r="U1075" s="2"/>
      <c r="V1075" s="2"/>
      <c r="W1075" s="2"/>
      <c r="X1075" s="2"/>
      <c r="Y1075" s="2"/>
      <c r="Z1075" s="2"/>
      <c r="AA1075" s="2"/>
      <c r="AB1075" s="2"/>
      <c r="AC1075" s="2"/>
      <c r="AD1075" s="2"/>
      <c r="AE1075" s="2"/>
      <c r="AF1075" s="2"/>
      <c r="AG1075" s="2"/>
      <c r="AH1075" s="2"/>
      <c r="AI1075" s="2"/>
      <c r="AJ1075" s="2"/>
      <c r="AK1075" s="2"/>
    </row>
    <row r="1076" spans="2:37">
      <c r="B1076" s="2"/>
      <c r="C1076" s="2"/>
      <c r="D1076" s="2"/>
      <c r="E1076" s="2"/>
      <c r="F1076" s="46"/>
      <c r="G1076" s="46"/>
      <c r="H1076" s="46"/>
      <c r="I1076" s="392"/>
      <c r="J1076" s="392"/>
      <c r="K1076" s="2"/>
      <c r="L1076" s="2"/>
      <c r="M1076" s="2"/>
      <c r="N1076" s="2"/>
      <c r="O1076" s="2"/>
      <c r="P1076" s="82" t="str">
        <f>D4</f>
        <v>2023-2024</v>
      </c>
      <c r="Q1076" s="82" t="str">
        <f>F4</f>
        <v>2024-2025</v>
      </c>
      <c r="R1076" s="82" t="str">
        <f>I4</f>
        <v>2025-2026</v>
      </c>
      <c r="S1076" s="2"/>
      <c r="T1076" s="2"/>
      <c r="U1076" s="2"/>
      <c r="V1076" s="2"/>
      <c r="W1076" s="2"/>
      <c r="X1076" s="2"/>
      <c r="Y1076" s="2"/>
      <c r="Z1076" s="2"/>
      <c r="AA1076" s="2"/>
      <c r="AB1076" s="2"/>
      <c r="AC1076" s="2"/>
      <c r="AD1076" s="2"/>
      <c r="AE1076" s="2"/>
      <c r="AF1076" s="2"/>
      <c r="AG1076" s="2"/>
      <c r="AH1076" s="2"/>
      <c r="AI1076" s="2"/>
      <c r="AJ1076" s="2"/>
      <c r="AK1076" s="2"/>
    </row>
    <row r="1077" spans="2:37">
      <c r="M1077" s="2"/>
      <c r="N1077" s="2"/>
      <c r="O1077" s="140" t="str">
        <f>$B1023</f>
        <v>Capital Improvement Expenditures (4000)</v>
      </c>
      <c r="P1077" s="207">
        <f>IF(AND($D1065&lt;=0,$F1065&lt;=0,$J1065&lt;=0),#N/A,IF($D1065&lt;=0,0,$D1065))</f>
        <v>39926</v>
      </c>
      <c r="Q1077" s="207">
        <f>IF(AND($D1065&lt;=0,$F1065&lt;=0,$J1065&lt;=0),#N/A,IF($F1065&lt;=0,0,$F1065))</f>
        <v>0</v>
      </c>
      <c r="R1077" s="207">
        <f>IF(AND($D1065&lt;=0,$F1065&lt;=0,$J1065&lt;=0),#N/A,IF($J1065&lt;=0,0,$J1065))</f>
        <v>25000</v>
      </c>
      <c r="S1077" s="2"/>
      <c r="T1077" s="2"/>
      <c r="U1077" s="2"/>
      <c r="V1077" s="2"/>
      <c r="W1077" s="2"/>
      <c r="X1077" s="2"/>
      <c r="Y1077" s="2"/>
      <c r="Z1077" s="2"/>
      <c r="AA1077" s="2"/>
      <c r="AB1077" s="2"/>
      <c r="AC1077" s="2"/>
      <c r="AD1077" s="2"/>
      <c r="AE1077" s="2"/>
      <c r="AF1077" s="2"/>
      <c r="AG1077" s="2"/>
      <c r="AH1077" s="2"/>
      <c r="AI1077" s="2"/>
      <c r="AJ1077" s="2"/>
      <c r="AK1077" s="2"/>
    </row>
    <row r="1078" spans="2:37">
      <c r="M1078" s="2"/>
      <c r="N1078" s="2"/>
      <c r="O1078" s="2"/>
      <c r="P1078" s="2"/>
      <c r="Q1078" s="2"/>
      <c r="R1078" s="2"/>
      <c r="S1078" s="2"/>
      <c r="T1078" s="2"/>
      <c r="U1078" s="2"/>
      <c r="V1078" s="2"/>
      <c r="W1078" s="2"/>
      <c r="X1078" s="2"/>
      <c r="Y1078" s="2"/>
      <c r="Z1078" s="2"/>
      <c r="AA1078" s="2"/>
      <c r="AB1078" s="2"/>
      <c r="AC1078" s="2"/>
      <c r="AD1078" s="2"/>
      <c r="AE1078" s="2"/>
      <c r="AF1078" s="2"/>
      <c r="AG1078" s="2"/>
      <c r="AH1078" s="2"/>
      <c r="AI1078" s="2"/>
      <c r="AJ1078" s="2"/>
      <c r="AK1078" s="2"/>
    </row>
    <row r="1079" spans="2:37">
      <c r="M1079" s="2"/>
      <c r="N1079" s="2"/>
      <c r="O1079" s="2"/>
      <c r="P1079" s="2"/>
      <c r="Q1079" s="2"/>
      <c r="R1079" s="2"/>
      <c r="S1079" s="2"/>
      <c r="T1079" s="2"/>
      <c r="U1079" s="2"/>
      <c r="V1079" s="2"/>
      <c r="W1079" s="2"/>
      <c r="X1079" s="2"/>
      <c r="Y1079" s="2"/>
      <c r="Z1079" s="2"/>
      <c r="AA1079" s="2"/>
      <c r="AB1079" s="2"/>
      <c r="AC1079" s="2"/>
      <c r="AD1079" s="2"/>
      <c r="AE1079" s="2"/>
      <c r="AF1079" s="2"/>
      <c r="AG1079" s="2"/>
      <c r="AH1079" s="2"/>
      <c r="AI1079" s="2"/>
      <c r="AJ1079" s="2"/>
      <c r="AK1079" s="2"/>
    </row>
    <row r="1080" spans="2:37">
      <c r="M1080" s="2"/>
      <c r="N1080" s="2"/>
      <c r="O1080" s="2"/>
      <c r="P1080" s="2"/>
      <c r="Q1080" s="2"/>
      <c r="R1080" s="2"/>
      <c r="S1080" s="2"/>
      <c r="T1080" s="2"/>
      <c r="U1080" s="2"/>
      <c r="V1080" s="2"/>
      <c r="W1080" s="2"/>
      <c r="X1080" s="2"/>
      <c r="Y1080" s="2"/>
      <c r="Z1080" s="2"/>
      <c r="AA1080" s="2"/>
      <c r="AB1080" s="2"/>
      <c r="AC1080" s="2"/>
      <c r="AD1080" s="2"/>
      <c r="AE1080" s="2"/>
      <c r="AF1080" s="2"/>
      <c r="AG1080" s="2"/>
      <c r="AH1080" s="2"/>
      <c r="AI1080" s="2"/>
      <c r="AJ1080" s="2"/>
      <c r="AK1080" s="2"/>
    </row>
    <row r="1081" spans="2:37">
      <c r="M1081" s="2"/>
      <c r="N1081" s="2"/>
      <c r="O1081" s="2"/>
      <c r="P1081" s="2"/>
      <c r="Q1081" s="2"/>
      <c r="R1081" s="2"/>
      <c r="S1081" s="2"/>
      <c r="T1081" s="2"/>
      <c r="U1081" s="2"/>
      <c r="V1081" s="2"/>
      <c r="W1081" s="2"/>
      <c r="X1081" s="2"/>
      <c r="Y1081" s="2"/>
      <c r="Z1081" s="2"/>
      <c r="AA1081" s="2"/>
      <c r="AB1081" s="2"/>
      <c r="AC1081" s="2"/>
      <c r="AD1081" s="2"/>
      <c r="AE1081" s="2"/>
      <c r="AF1081" s="2"/>
      <c r="AG1081" s="2"/>
      <c r="AH1081" s="2"/>
      <c r="AI1081" s="2"/>
      <c r="AJ1081" s="2"/>
      <c r="AK1081" s="2"/>
    </row>
    <row r="1082" spans="2:37">
      <c r="M1082" s="2"/>
      <c r="N1082" s="2"/>
      <c r="O1082" s="2"/>
      <c r="P1082" s="2"/>
      <c r="Q1082" s="2"/>
      <c r="R1082" s="2"/>
      <c r="S1082" s="2"/>
      <c r="T1082" s="2"/>
      <c r="U1082" s="2"/>
      <c r="V1082" s="2"/>
      <c r="W1082" s="2"/>
      <c r="X1082" s="2"/>
      <c r="Y1082" s="2"/>
      <c r="Z1082" s="2"/>
      <c r="AA1082" s="2"/>
      <c r="AB1082" s="2"/>
      <c r="AC1082" s="2"/>
      <c r="AD1082" s="2"/>
      <c r="AE1082" s="2"/>
      <c r="AF1082" s="2"/>
      <c r="AG1082" s="2"/>
      <c r="AH1082" s="2"/>
      <c r="AI1082" s="2"/>
      <c r="AJ1082" s="2"/>
      <c r="AK1082" s="2"/>
    </row>
    <row r="1083" spans="2:37">
      <c r="M1083" s="2"/>
      <c r="N1083" s="2"/>
      <c r="O1083" s="2"/>
      <c r="P1083" s="2"/>
      <c r="Q1083" s="2"/>
      <c r="R1083" s="2"/>
      <c r="S1083" s="2"/>
      <c r="T1083" s="2"/>
      <c r="U1083" s="2"/>
      <c r="V1083" s="2"/>
      <c r="W1083" s="2"/>
      <c r="X1083" s="2"/>
      <c r="Y1083" s="2"/>
      <c r="Z1083" s="2"/>
      <c r="AA1083" s="2"/>
      <c r="AB1083" s="2"/>
      <c r="AC1083" s="2"/>
      <c r="AD1083" s="2"/>
      <c r="AE1083" s="2"/>
      <c r="AF1083" s="2"/>
      <c r="AG1083" s="2"/>
      <c r="AH1083" s="2"/>
      <c r="AI1083" s="2"/>
      <c r="AJ1083" s="2"/>
      <c r="AK1083" s="2"/>
    </row>
    <row r="1084" spans="2:37">
      <c r="M1084" s="2"/>
      <c r="N1084" s="2"/>
      <c r="O1084" s="2"/>
      <c r="P1084" s="2"/>
      <c r="Q1084" s="2"/>
      <c r="R1084" s="2"/>
      <c r="S1084" s="2"/>
      <c r="T1084" s="2"/>
      <c r="U1084" s="2"/>
      <c r="V1084" s="2"/>
      <c r="W1084" s="2"/>
      <c r="X1084" s="2"/>
      <c r="Y1084" s="2"/>
      <c r="Z1084" s="2"/>
      <c r="AA1084" s="2"/>
      <c r="AB1084" s="2"/>
      <c r="AC1084" s="2"/>
      <c r="AD1084" s="2"/>
      <c r="AE1084" s="2"/>
      <c r="AF1084" s="2"/>
      <c r="AG1084" s="2"/>
      <c r="AH1084" s="2"/>
      <c r="AI1084" s="2"/>
      <c r="AJ1084" s="2"/>
      <c r="AK1084" s="2"/>
    </row>
    <row r="1085" spans="2:37">
      <c r="M1085" s="2"/>
      <c r="N1085" s="2"/>
      <c r="O1085" s="2"/>
      <c r="P1085" s="2"/>
      <c r="Q1085" s="2"/>
      <c r="R1085" s="2"/>
      <c r="S1085" s="2"/>
      <c r="T1085" s="2"/>
      <c r="U1085" s="2"/>
      <c r="V1085" s="2"/>
      <c r="W1085" s="2"/>
      <c r="X1085" s="2"/>
      <c r="Y1085" s="2"/>
      <c r="Z1085" s="2"/>
      <c r="AA1085" s="2"/>
      <c r="AB1085" s="2"/>
      <c r="AC1085" s="2"/>
      <c r="AD1085" s="2"/>
      <c r="AE1085" s="2"/>
      <c r="AF1085" s="2"/>
      <c r="AG1085" s="2"/>
      <c r="AH1085" s="2"/>
      <c r="AI1085" s="2"/>
      <c r="AJ1085" s="2"/>
      <c r="AK1085" s="2"/>
    </row>
    <row r="1086" spans="2:37">
      <c r="M1086" s="2"/>
      <c r="N1086" s="2"/>
      <c r="O1086" s="2"/>
      <c r="P1086" s="2"/>
      <c r="Q1086" s="2"/>
      <c r="R1086" s="2"/>
      <c r="S1086" s="2"/>
      <c r="T1086" s="2"/>
      <c r="U1086" s="2"/>
      <c r="V1086" s="2"/>
      <c r="W1086" s="2"/>
      <c r="X1086" s="2"/>
      <c r="Y1086" s="2"/>
      <c r="Z1086" s="2"/>
      <c r="AA1086" s="2"/>
      <c r="AB1086" s="2"/>
      <c r="AC1086" s="2"/>
      <c r="AD1086" s="2"/>
      <c r="AE1086" s="2"/>
      <c r="AF1086" s="2"/>
      <c r="AG1086" s="2"/>
      <c r="AH1086" s="2"/>
      <c r="AI1086" s="2"/>
      <c r="AJ1086" s="2"/>
      <c r="AK1086" s="2"/>
    </row>
    <row r="1087" spans="2:37" ht="18">
      <c r="B1087" s="316" t="s">
        <v>152</v>
      </c>
      <c r="C1087" s="143"/>
      <c r="D1087" s="143"/>
      <c r="E1087" s="143"/>
      <c r="F1087" s="144"/>
      <c r="G1087" s="144"/>
      <c r="H1087" s="144"/>
      <c r="I1087" s="143"/>
      <c r="J1087" s="143"/>
      <c r="K1087" s="143"/>
      <c r="L1087" s="143"/>
      <c r="M1087" s="2"/>
      <c r="N1087" s="2"/>
      <c r="O1087" s="2"/>
      <c r="P1087" s="2"/>
      <c r="Q1087" s="2"/>
      <c r="R1087" s="2"/>
      <c r="S1087" s="2"/>
      <c r="T1087" s="2"/>
      <c r="U1087" s="2"/>
      <c r="V1087" s="2"/>
      <c r="W1087" s="2"/>
      <c r="X1087" s="2"/>
      <c r="Y1087" s="2"/>
      <c r="Z1087" s="2"/>
      <c r="AA1087" s="2"/>
      <c r="AB1087" s="2"/>
      <c r="AC1087" s="2"/>
      <c r="AD1087" s="2"/>
      <c r="AE1087" s="2"/>
      <c r="AF1087" s="2"/>
      <c r="AG1087" s="2"/>
      <c r="AH1087" s="2"/>
      <c r="AI1087" s="2"/>
      <c r="AJ1087" s="2"/>
      <c r="AK1087" s="2"/>
    </row>
    <row r="1088" spans="2:37">
      <c r="B1088" s="2"/>
      <c r="C1088" s="386" t="s">
        <v>1</v>
      </c>
      <c r="D1088" s="379"/>
      <c r="E1088" s="4"/>
      <c r="F1088" s="379"/>
      <c r="G1088" s="380"/>
      <c r="H1088" s="4"/>
      <c r="I1088" s="317"/>
      <c r="J1088" s="380"/>
      <c r="K1088" s="2"/>
      <c r="L1088" s="2"/>
      <c r="M1088" s="2"/>
      <c r="N1088" s="2"/>
      <c r="O1088" s="2"/>
      <c r="P1088" s="2"/>
      <c r="Q1088" s="2"/>
      <c r="R1088" s="2"/>
      <c r="S1088" s="2"/>
      <c r="T1088" s="2"/>
      <c r="U1088" s="2"/>
      <c r="V1088" s="2"/>
      <c r="W1088" s="2"/>
      <c r="X1088" s="2"/>
      <c r="Y1088" s="2"/>
      <c r="Z1088" s="2"/>
      <c r="AA1088" s="2"/>
      <c r="AB1088" s="2"/>
      <c r="AC1088" s="2"/>
      <c r="AD1088" s="2"/>
      <c r="AE1088" s="2"/>
      <c r="AF1088" s="2"/>
      <c r="AG1088" s="2"/>
      <c r="AH1088" s="2"/>
      <c r="AI1088" s="2"/>
      <c r="AJ1088" s="2"/>
      <c r="AK1088" s="2"/>
    </row>
    <row r="1089" spans="2:37">
      <c r="B1089" s="2"/>
      <c r="C1089" s="145"/>
      <c r="D1089" s="381" t="str">
        <f>D4</f>
        <v>2023-2024</v>
      </c>
      <c r="E1089" s="43"/>
      <c r="F1089" s="740" t="str">
        <f>F4</f>
        <v>2024-2025</v>
      </c>
      <c r="G1089" s="741"/>
      <c r="H1089" s="319" t="s">
        <v>2</v>
      </c>
      <c r="J1089" s="740" t="str">
        <f>I4</f>
        <v>2025-2026</v>
      </c>
      <c r="K1089" s="741"/>
      <c r="L1089" s="387" t="s">
        <v>2</v>
      </c>
      <c r="M1089" s="2"/>
      <c r="N1089" s="2"/>
      <c r="O1089" s="2"/>
      <c r="P1089" s="2"/>
      <c r="Q1089" s="2"/>
      <c r="R1089" s="2"/>
      <c r="S1089" s="2"/>
      <c r="T1089" s="2"/>
      <c r="U1089" s="2"/>
      <c r="V1089" s="2"/>
      <c r="W1089" s="2"/>
      <c r="X1089" s="2"/>
      <c r="Y1089" s="2"/>
      <c r="Z1089" s="2"/>
      <c r="AA1089" s="2"/>
      <c r="AB1089" s="2"/>
      <c r="AC1089" s="2"/>
      <c r="AD1089" s="2"/>
      <c r="AE1089" s="2"/>
      <c r="AF1089" s="2"/>
      <c r="AG1089" s="2"/>
      <c r="AH1089" s="2"/>
      <c r="AI1089" s="2"/>
      <c r="AJ1089" s="2"/>
      <c r="AK1089" s="2"/>
    </row>
    <row r="1090" spans="2:37">
      <c r="B1090" s="2"/>
      <c r="C1090" s="220" t="s">
        <v>4</v>
      </c>
      <c r="D1090" s="323" t="s">
        <v>5</v>
      </c>
      <c r="E1090" s="43"/>
      <c r="F1090" s="736" t="s">
        <v>5</v>
      </c>
      <c r="G1090" s="737"/>
      <c r="H1090" s="322" t="s">
        <v>144</v>
      </c>
      <c r="J1090" s="736" t="s">
        <v>6</v>
      </c>
      <c r="K1090" s="737"/>
      <c r="L1090" s="388" t="s">
        <v>144</v>
      </c>
      <c r="M1090" s="2"/>
      <c r="N1090" s="2"/>
      <c r="O1090" s="2"/>
      <c r="P1090" s="2"/>
      <c r="Q1090" s="2"/>
      <c r="R1090" s="2"/>
      <c r="S1090" s="2"/>
      <c r="T1090" s="2"/>
      <c r="U1090" s="2"/>
      <c r="V1090" s="2"/>
      <c r="W1090" s="2"/>
      <c r="X1090" s="2"/>
      <c r="Y1090" s="2"/>
      <c r="Z1090" s="2"/>
      <c r="AA1090" s="2"/>
      <c r="AB1090" s="2"/>
      <c r="AC1090" s="2"/>
      <c r="AD1090" s="2"/>
      <c r="AE1090" s="2"/>
      <c r="AF1090" s="2"/>
      <c r="AG1090" s="2"/>
      <c r="AH1090" s="2"/>
      <c r="AI1090" s="2"/>
      <c r="AJ1090" s="2"/>
      <c r="AK1090" s="2"/>
    </row>
    <row r="1091" spans="2:37">
      <c r="B1091" s="324" t="s">
        <v>34</v>
      </c>
      <c r="C1091" s="325"/>
      <c r="D1091" s="390">
        <v>0</v>
      </c>
      <c r="E1091" s="327"/>
      <c r="F1091" s="744">
        <v>0</v>
      </c>
      <c r="G1091" s="745"/>
      <c r="H1091" s="328">
        <f t="shared" ref="H1091:H1129" si="99">IF(D1091=0,0,((F1091-D1091)/D1091))</f>
        <v>0</v>
      </c>
      <c r="J1091" s="731">
        <v>0</v>
      </c>
      <c r="K1091" s="732"/>
      <c r="L1091" s="328">
        <f t="shared" ref="L1091:L1112" si="100">IF(F1091=0,0,((J1091-F1091)/F1091))</f>
        <v>0</v>
      </c>
      <c r="M1091" s="2"/>
      <c r="N1091" s="2"/>
      <c r="O1091" s="2"/>
      <c r="P1091" s="2"/>
      <c r="Q1091" s="2"/>
      <c r="R1091" s="2"/>
      <c r="S1091" s="2"/>
      <c r="T1091" s="2"/>
      <c r="U1091" s="2"/>
      <c r="V1091" s="2"/>
      <c r="W1091" s="2"/>
      <c r="X1091" s="2"/>
      <c r="Y1091" s="2"/>
      <c r="Z1091" s="2"/>
      <c r="AA1091" s="2"/>
      <c r="AB1091" s="2"/>
      <c r="AC1091" s="2"/>
      <c r="AD1091" s="2"/>
      <c r="AE1091" s="2"/>
      <c r="AF1091" s="2"/>
      <c r="AG1091" s="2"/>
      <c r="AH1091" s="2"/>
      <c r="AI1091" s="2"/>
      <c r="AJ1091" s="2"/>
      <c r="AK1091" s="2"/>
    </row>
    <row r="1092" spans="2:37">
      <c r="B1092" s="44" t="s">
        <v>36</v>
      </c>
      <c r="C1092" s="44">
        <v>7</v>
      </c>
      <c r="D1092" s="341">
        <v>0</v>
      </c>
      <c r="E1092" s="327"/>
      <c r="F1092" s="742">
        <v>0</v>
      </c>
      <c r="G1092" s="742"/>
      <c r="H1092" s="330">
        <f t="shared" si="99"/>
        <v>0</v>
      </c>
      <c r="J1092" s="652">
        <v>0</v>
      </c>
      <c r="K1092" s="653"/>
      <c r="L1092" s="330">
        <f t="shared" si="100"/>
        <v>0</v>
      </c>
      <c r="M1092" s="2"/>
      <c r="N1092" s="2"/>
      <c r="O1092" s="2"/>
      <c r="P1092" s="2"/>
      <c r="Q1092" s="2"/>
      <c r="R1092" s="2"/>
      <c r="S1092" s="2"/>
      <c r="T1092" s="2"/>
      <c r="U1092" s="2"/>
      <c r="V1092" s="2"/>
      <c r="W1092" s="2"/>
      <c r="X1092" s="2"/>
      <c r="Y1092" s="2"/>
      <c r="Z1092" s="2"/>
      <c r="AA1092" s="2"/>
      <c r="AB1092" s="2"/>
      <c r="AC1092" s="2"/>
      <c r="AD1092" s="2"/>
      <c r="AE1092" s="2"/>
      <c r="AF1092" s="2"/>
      <c r="AG1092" s="2"/>
      <c r="AH1092" s="2"/>
      <c r="AI1092" s="2"/>
      <c r="AJ1092" s="2"/>
      <c r="AK1092" s="2"/>
    </row>
    <row r="1093" spans="2:37">
      <c r="B1093" s="324" t="s">
        <v>35</v>
      </c>
      <c r="C1093" s="324"/>
      <c r="D1093" s="339">
        <v>0</v>
      </c>
      <c r="E1093" s="327"/>
      <c r="F1093" s="735">
        <v>0</v>
      </c>
      <c r="G1093" s="735"/>
      <c r="H1093" s="332">
        <f t="shared" si="99"/>
        <v>0</v>
      </c>
      <c r="J1093" s="654">
        <v>0</v>
      </c>
      <c r="K1093" s="655"/>
      <c r="L1093" s="332">
        <f t="shared" si="100"/>
        <v>0</v>
      </c>
      <c r="M1093" s="2"/>
      <c r="N1093" s="2"/>
      <c r="O1093" s="2"/>
      <c r="P1093" s="2"/>
      <c r="Q1093" s="2"/>
      <c r="R1093" s="2"/>
      <c r="S1093" s="2"/>
      <c r="T1093" s="2"/>
      <c r="U1093" s="2"/>
      <c r="V1093" s="2"/>
      <c r="W1093" s="2"/>
      <c r="X1093" s="2"/>
      <c r="Y1093" s="2"/>
      <c r="Z1093" s="2"/>
      <c r="AA1093" s="2"/>
      <c r="AB1093" s="2"/>
      <c r="AC1093" s="2"/>
      <c r="AD1093" s="2"/>
      <c r="AE1093" s="2"/>
      <c r="AF1093" s="2"/>
      <c r="AG1093" s="2"/>
      <c r="AH1093" s="2"/>
      <c r="AI1093" s="2"/>
      <c r="AJ1093" s="2"/>
      <c r="AK1093" s="2"/>
    </row>
    <row r="1094" spans="2:37">
      <c r="B1094" s="1" t="s">
        <v>140</v>
      </c>
      <c r="C1094" s="333"/>
      <c r="D1094" s="336">
        <v>0</v>
      </c>
      <c r="E1094" s="327"/>
      <c r="F1094" s="742">
        <v>0</v>
      </c>
      <c r="G1094" s="742"/>
      <c r="H1094" s="330">
        <f t="shared" si="99"/>
        <v>0</v>
      </c>
      <c r="J1094" s="733">
        <v>0</v>
      </c>
      <c r="K1094" s="673"/>
      <c r="L1094" s="330">
        <f t="shared" si="100"/>
        <v>0</v>
      </c>
      <c r="M1094" s="2"/>
      <c r="N1094" s="2"/>
      <c r="O1094" s="2"/>
      <c r="P1094" s="2"/>
      <c r="Q1094" s="2"/>
      <c r="R1094" s="2"/>
      <c r="S1094" s="2"/>
      <c r="T1094" s="2"/>
      <c r="U1094" s="2"/>
      <c r="V1094" s="2"/>
      <c r="W1094" s="2"/>
      <c r="X1094" s="2"/>
      <c r="Y1094" s="2"/>
      <c r="Z1094" s="2"/>
      <c r="AA1094" s="2"/>
      <c r="AB1094" s="2"/>
      <c r="AC1094" s="2"/>
      <c r="AD1094" s="2"/>
      <c r="AE1094" s="2"/>
      <c r="AF1094" s="2"/>
      <c r="AG1094" s="2"/>
      <c r="AH1094" s="2"/>
      <c r="AI1094" s="2"/>
      <c r="AJ1094" s="2"/>
      <c r="AK1094" s="2"/>
    </row>
    <row r="1095" spans="2:37">
      <c r="B1095" s="324" t="s">
        <v>277</v>
      </c>
      <c r="C1095" s="335"/>
      <c r="D1095" s="339">
        <v>0</v>
      </c>
      <c r="E1095" s="327"/>
      <c r="F1095" s="735">
        <v>0</v>
      </c>
      <c r="G1095" s="735"/>
      <c r="H1095" s="332">
        <f t="shared" si="99"/>
        <v>0</v>
      </c>
      <c r="J1095" s="734">
        <v>0</v>
      </c>
      <c r="K1095" s="675"/>
      <c r="L1095" s="332">
        <f t="shared" si="100"/>
        <v>0</v>
      </c>
      <c r="M1095" s="2"/>
      <c r="N1095" s="2"/>
      <c r="O1095" s="2"/>
      <c r="P1095" s="2"/>
      <c r="Q1095" s="2"/>
      <c r="R1095" s="2"/>
      <c r="S1095" s="2"/>
      <c r="T1095" s="2"/>
      <c r="U1095" s="2"/>
      <c r="V1095" s="2"/>
      <c r="W1095" s="2"/>
      <c r="X1095" s="2"/>
      <c r="Y1095" s="2"/>
      <c r="Z1095" s="2"/>
      <c r="AA1095" s="2"/>
      <c r="AB1095" s="2"/>
      <c r="AC1095" s="2"/>
      <c r="AD1095" s="2"/>
      <c r="AE1095" s="2"/>
      <c r="AF1095" s="2"/>
      <c r="AG1095" s="2"/>
      <c r="AH1095" s="2"/>
      <c r="AI1095" s="2"/>
      <c r="AJ1095" s="2"/>
      <c r="AK1095" s="2"/>
    </row>
    <row r="1096" spans="2:37">
      <c r="B1096" s="1" t="s">
        <v>39</v>
      </c>
      <c r="C1096" s="1">
        <v>14</v>
      </c>
      <c r="D1096" s="336">
        <v>0</v>
      </c>
      <c r="E1096" s="327"/>
      <c r="F1096" s="742">
        <v>0</v>
      </c>
      <c r="G1096" s="742"/>
      <c r="H1096" s="330">
        <f t="shared" si="99"/>
        <v>0</v>
      </c>
      <c r="J1096" s="652">
        <v>0</v>
      </c>
      <c r="K1096" s="653"/>
      <c r="L1096" s="330">
        <f t="shared" si="100"/>
        <v>0</v>
      </c>
      <c r="M1096" s="2"/>
      <c r="N1096" s="2"/>
      <c r="O1096" s="2"/>
      <c r="P1096" s="2"/>
      <c r="Q1096" s="2"/>
      <c r="R1096" s="2"/>
      <c r="S1096" s="2"/>
      <c r="T1096" s="2"/>
      <c r="U1096" s="2"/>
      <c r="V1096" s="2"/>
      <c r="W1096" s="2"/>
      <c r="X1096" s="2"/>
      <c r="Y1096" s="2"/>
      <c r="Z1096" s="2"/>
      <c r="AA1096" s="2"/>
      <c r="AB1096" s="2"/>
      <c r="AC1096" s="2"/>
      <c r="AD1096" s="2"/>
      <c r="AE1096" s="2"/>
      <c r="AF1096" s="2"/>
      <c r="AG1096" s="2"/>
      <c r="AH1096" s="2"/>
      <c r="AI1096" s="2"/>
      <c r="AJ1096" s="2"/>
      <c r="AK1096" s="2"/>
    </row>
    <row r="1097" spans="2:37">
      <c r="B1097" s="324" t="s">
        <v>40</v>
      </c>
      <c r="C1097" s="324"/>
      <c r="D1097" s="339">
        <v>0</v>
      </c>
      <c r="E1097" s="327"/>
      <c r="F1097" s="735">
        <v>0</v>
      </c>
      <c r="G1097" s="735"/>
      <c r="H1097" s="332">
        <f t="shared" si="99"/>
        <v>0</v>
      </c>
      <c r="J1097" s="654">
        <v>0</v>
      </c>
      <c r="K1097" s="655"/>
      <c r="L1097" s="332">
        <f t="shared" si="100"/>
        <v>0</v>
      </c>
      <c r="M1097" s="2"/>
      <c r="N1097" s="2"/>
      <c r="O1097" s="2"/>
      <c r="P1097" s="2"/>
      <c r="Q1097" s="2"/>
      <c r="R1097" s="2"/>
      <c r="S1097" s="2"/>
      <c r="T1097" s="2"/>
      <c r="U1097" s="2"/>
      <c r="V1097" s="2"/>
      <c r="W1097" s="2"/>
      <c r="X1097" s="2"/>
      <c r="Y1097" s="2"/>
      <c r="Z1097" s="2"/>
      <c r="AA1097" s="2"/>
      <c r="AB1097" s="2"/>
      <c r="AC1097" s="2"/>
      <c r="AD1097" s="2"/>
      <c r="AE1097" s="2"/>
      <c r="AF1097" s="2"/>
      <c r="AG1097" s="2"/>
      <c r="AH1097" s="2"/>
      <c r="AI1097" s="2"/>
      <c r="AJ1097" s="2"/>
      <c r="AK1097" s="2"/>
    </row>
    <row r="1098" spans="2:37">
      <c r="B1098" s="1" t="s">
        <v>41</v>
      </c>
      <c r="C1098" s="1"/>
      <c r="D1098" s="334">
        <f>SUM([1]C016!$C$141:$C$143)</f>
        <v>0</v>
      </c>
      <c r="E1098" s="327"/>
      <c r="F1098" s="743">
        <f>SUM([1]C016!$D$141:$D$143)</f>
        <v>0</v>
      </c>
      <c r="G1098" s="742"/>
      <c r="H1098" s="330">
        <f t="shared" si="99"/>
        <v>0</v>
      </c>
      <c r="J1098" s="671">
        <f>SUM([1]C016!$E$141:$E$143)</f>
        <v>0</v>
      </c>
      <c r="K1098" s="653"/>
      <c r="L1098" s="330">
        <f t="shared" si="100"/>
        <v>0</v>
      </c>
      <c r="M1098" s="2"/>
      <c r="N1098" s="2"/>
      <c r="O1098" s="2"/>
      <c r="P1098" s="2"/>
      <c r="Q1098" s="2"/>
      <c r="R1098" s="2"/>
      <c r="S1098" s="2"/>
      <c r="T1098" s="2"/>
      <c r="U1098" s="2"/>
      <c r="V1098" s="2"/>
      <c r="W1098" s="2"/>
      <c r="X1098" s="2"/>
      <c r="Y1098" s="2"/>
      <c r="Z1098" s="2"/>
      <c r="AA1098" s="2"/>
      <c r="AB1098" s="2"/>
      <c r="AC1098" s="2"/>
      <c r="AD1098" s="2"/>
      <c r="AE1098" s="2"/>
      <c r="AF1098" s="2"/>
      <c r="AG1098" s="2"/>
      <c r="AH1098" s="2"/>
      <c r="AI1098" s="2"/>
      <c r="AJ1098" s="2"/>
      <c r="AK1098" s="2"/>
    </row>
    <row r="1099" spans="2:37">
      <c r="B1099" s="324" t="s">
        <v>70</v>
      </c>
      <c r="C1099" s="324">
        <v>18</v>
      </c>
      <c r="D1099" s="339">
        <v>0</v>
      </c>
      <c r="E1099" s="327"/>
      <c r="F1099" s="735">
        <v>0</v>
      </c>
      <c r="G1099" s="735"/>
      <c r="H1099" s="332">
        <f t="shared" si="99"/>
        <v>0</v>
      </c>
      <c r="J1099" s="654">
        <v>0</v>
      </c>
      <c r="K1099" s="655"/>
      <c r="L1099" s="332">
        <f t="shared" si="100"/>
        <v>0</v>
      </c>
      <c r="M1099" s="2"/>
      <c r="N1099" s="2"/>
      <c r="O1099" s="2"/>
      <c r="P1099" s="2"/>
      <c r="Q1099" s="2"/>
      <c r="R1099" s="2"/>
      <c r="S1099" s="2"/>
      <c r="T1099" s="2"/>
      <c r="U1099" s="2"/>
      <c r="V1099" s="2"/>
      <c r="W1099" s="2"/>
      <c r="X1099" s="2"/>
      <c r="Y1099" s="2"/>
      <c r="Z1099" s="2"/>
      <c r="AA1099" s="2"/>
      <c r="AB1099" s="2"/>
      <c r="AC1099" s="2"/>
      <c r="AD1099" s="2"/>
      <c r="AE1099" s="2"/>
      <c r="AF1099" s="2"/>
      <c r="AG1099" s="2"/>
      <c r="AH1099" s="2"/>
      <c r="AI1099" s="2"/>
      <c r="AJ1099" s="2"/>
      <c r="AK1099" s="2"/>
    </row>
    <row r="1100" spans="2:37">
      <c r="B1100" s="1" t="s">
        <v>43</v>
      </c>
      <c r="C1100" s="1"/>
      <c r="D1100" s="336">
        <v>0</v>
      </c>
      <c r="E1100" s="327"/>
      <c r="F1100" s="742">
        <v>0</v>
      </c>
      <c r="G1100" s="742"/>
      <c r="H1100" s="330">
        <f t="shared" si="99"/>
        <v>0</v>
      </c>
      <c r="J1100" s="652">
        <v>0</v>
      </c>
      <c r="K1100" s="653"/>
      <c r="L1100" s="330">
        <f t="shared" si="100"/>
        <v>0</v>
      </c>
      <c r="M1100" s="2"/>
      <c r="N1100" s="2"/>
      <c r="O1100" s="2"/>
      <c r="P1100" s="2"/>
      <c r="Q1100" s="2"/>
      <c r="R1100" s="2"/>
      <c r="S1100" s="2"/>
      <c r="T1100" s="2"/>
      <c r="U1100" s="2"/>
      <c r="V1100" s="2"/>
      <c r="W1100" s="2"/>
      <c r="X1100" s="2"/>
      <c r="Y1100" s="2"/>
      <c r="Z1100" s="2"/>
      <c r="AA1100" s="2"/>
      <c r="AB1100" s="2"/>
      <c r="AC1100" s="2"/>
      <c r="AD1100" s="2"/>
      <c r="AE1100" s="2"/>
      <c r="AF1100" s="2"/>
      <c r="AG1100" s="2"/>
      <c r="AH1100" s="2"/>
      <c r="AI1100" s="2"/>
      <c r="AJ1100" s="2"/>
      <c r="AK1100" s="2"/>
    </row>
    <row r="1101" spans="2:37">
      <c r="B1101" s="324" t="s">
        <v>44</v>
      </c>
      <c r="C1101" s="324">
        <v>22</v>
      </c>
      <c r="D1101" s="339">
        <v>0</v>
      </c>
      <c r="E1101" s="327"/>
      <c r="F1101" s="735">
        <v>0</v>
      </c>
      <c r="G1101" s="735"/>
      <c r="H1101" s="332">
        <f t="shared" si="99"/>
        <v>0</v>
      </c>
      <c r="J1101" s="654">
        <v>0</v>
      </c>
      <c r="K1101" s="655"/>
      <c r="L1101" s="332">
        <f t="shared" si="100"/>
        <v>0</v>
      </c>
      <c r="M1101" s="2"/>
      <c r="N1101" s="2"/>
      <c r="O1101" s="2"/>
      <c r="P1101" s="2"/>
      <c r="Q1101" s="2"/>
      <c r="R1101" s="2"/>
      <c r="S1101" s="2"/>
      <c r="T1101" s="2"/>
      <c r="U1101" s="2"/>
      <c r="V1101" s="2"/>
      <c r="W1101" s="2"/>
      <c r="X1101" s="2"/>
      <c r="Y1101" s="2"/>
      <c r="Z1101" s="2"/>
      <c r="AA1101" s="2"/>
      <c r="AB1101" s="2"/>
      <c r="AC1101" s="2"/>
      <c r="AD1101" s="2"/>
      <c r="AE1101" s="2"/>
      <c r="AF1101" s="2"/>
      <c r="AG1101" s="2"/>
      <c r="AH1101" s="2"/>
      <c r="AI1101" s="2"/>
      <c r="AJ1101" s="2"/>
      <c r="AK1101" s="2"/>
    </row>
    <row r="1102" spans="2:37">
      <c r="B1102" s="1" t="s">
        <v>45</v>
      </c>
      <c r="C1102" s="337">
        <v>24</v>
      </c>
      <c r="D1102" s="336">
        <v>0</v>
      </c>
      <c r="E1102" s="327"/>
      <c r="F1102" s="742">
        <v>0</v>
      </c>
      <c r="G1102" s="742"/>
      <c r="H1102" s="330">
        <f t="shared" si="99"/>
        <v>0</v>
      </c>
      <c r="J1102" s="652">
        <v>0</v>
      </c>
      <c r="K1102" s="653"/>
      <c r="L1102" s="330">
        <f t="shared" si="100"/>
        <v>0</v>
      </c>
      <c r="M1102" s="2"/>
      <c r="N1102" s="2"/>
      <c r="O1102" s="2"/>
      <c r="P1102" s="2"/>
      <c r="Q1102" s="2"/>
      <c r="R1102" s="2"/>
      <c r="S1102" s="2"/>
      <c r="T1102" s="2"/>
      <c r="U1102" s="2"/>
      <c r="V1102" s="2"/>
      <c r="W1102" s="2"/>
      <c r="X1102" s="2"/>
      <c r="Y1102" s="2"/>
      <c r="Z1102" s="2"/>
      <c r="AA1102" s="2"/>
      <c r="AB1102" s="2"/>
      <c r="AC1102" s="2"/>
      <c r="AD1102" s="2"/>
      <c r="AE1102" s="2"/>
      <c r="AF1102" s="2"/>
      <c r="AG1102" s="2"/>
      <c r="AH1102" s="2"/>
      <c r="AI1102" s="2"/>
      <c r="AJ1102" s="2"/>
      <c r="AK1102" s="2"/>
    </row>
    <row r="1103" spans="2:37">
      <c r="B1103" s="324" t="s">
        <v>46</v>
      </c>
      <c r="C1103" s="338">
        <v>26</v>
      </c>
      <c r="D1103" s="339">
        <v>0</v>
      </c>
      <c r="E1103" s="327"/>
      <c r="F1103" s="735">
        <v>0</v>
      </c>
      <c r="G1103" s="735"/>
      <c r="H1103" s="332">
        <f t="shared" si="99"/>
        <v>0</v>
      </c>
      <c r="J1103" s="654">
        <v>0</v>
      </c>
      <c r="K1103" s="655"/>
      <c r="L1103" s="332">
        <f t="shared" si="100"/>
        <v>0</v>
      </c>
      <c r="M1103" s="2"/>
      <c r="N1103" s="2"/>
      <c r="O1103" s="2"/>
      <c r="P1103" s="2"/>
      <c r="Q1103" s="2"/>
      <c r="R1103" s="2"/>
      <c r="S1103" s="2"/>
      <c r="T1103" s="2"/>
      <c r="U1103" s="2"/>
      <c r="V1103" s="2"/>
      <c r="W1103" s="2"/>
      <c r="X1103" s="2"/>
      <c r="Y1103" s="2"/>
      <c r="Z1103" s="2"/>
      <c r="AA1103" s="2"/>
      <c r="AB1103" s="2"/>
      <c r="AC1103" s="2"/>
      <c r="AD1103" s="2"/>
      <c r="AE1103" s="2"/>
      <c r="AF1103" s="2"/>
      <c r="AG1103" s="2"/>
      <c r="AH1103" s="2"/>
      <c r="AI1103" s="2"/>
      <c r="AJ1103" s="2"/>
      <c r="AK1103" s="2"/>
    </row>
    <row r="1104" spans="2:37">
      <c r="B1104" s="1" t="s">
        <v>47</v>
      </c>
      <c r="C1104" s="337">
        <v>28</v>
      </c>
      <c r="D1104" s="336">
        <v>0</v>
      </c>
      <c r="E1104" s="327"/>
      <c r="F1104" s="652">
        <v>0</v>
      </c>
      <c r="G1104" s="653"/>
      <c r="H1104" s="330">
        <f t="shared" si="99"/>
        <v>0</v>
      </c>
      <c r="J1104" s="652">
        <v>0</v>
      </c>
      <c r="K1104" s="653"/>
      <c r="L1104" s="330">
        <f t="shared" si="100"/>
        <v>0</v>
      </c>
      <c r="M1104" s="2"/>
      <c r="N1104" s="2"/>
      <c r="O1104" s="2"/>
      <c r="P1104" s="2"/>
      <c r="Q1104" s="2"/>
      <c r="R1104" s="2"/>
      <c r="S1104" s="2"/>
      <c r="T1104" s="2"/>
      <c r="U1104" s="2"/>
      <c r="V1104" s="2"/>
      <c r="W1104" s="2"/>
      <c r="X1104" s="2"/>
      <c r="Y1104" s="2"/>
      <c r="Z1104" s="2"/>
      <c r="AA1104" s="2"/>
      <c r="AB1104" s="2"/>
      <c r="AC1104" s="2"/>
      <c r="AD1104" s="2"/>
      <c r="AE1104" s="2"/>
      <c r="AF1104" s="2"/>
      <c r="AG1104" s="2"/>
      <c r="AH1104" s="2"/>
      <c r="AI1104" s="2"/>
      <c r="AJ1104" s="2"/>
      <c r="AK1104" s="2"/>
    </row>
    <row r="1105" spans="2:37">
      <c r="B1105" s="324" t="s">
        <v>48</v>
      </c>
      <c r="C1105" s="338">
        <v>29</v>
      </c>
      <c r="D1105" s="339">
        <v>0</v>
      </c>
      <c r="E1105" s="327"/>
      <c r="F1105" s="654">
        <v>0</v>
      </c>
      <c r="G1105" s="655"/>
      <c r="H1105" s="332">
        <f t="shared" si="99"/>
        <v>0</v>
      </c>
      <c r="J1105" s="654">
        <v>0</v>
      </c>
      <c r="K1105" s="655"/>
      <c r="L1105" s="332">
        <f t="shared" si="100"/>
        <v>0</v>
      </c>
      <c r="M1105" s="2"/>
      <c r="N1105" s="2"/>
      <c r="O1105" s="2"/>
      <c r="P1105" s="2"/>
      <c r="Q1105" s="2"/>
      <c r="R1105" s="2"/>
      <c r="S1105" s="2"/>
      <c r="T1105" s="2"/>
      <c r="U1105" s="2"/>
      <c r="V1105" s="2"/>
      <c r="W1105" s="2"/>
      <c r="X1105" s="2"/>
      <c r="Y1105" s="2"/>
      <c r="Z1105" s="2"/>
      <c r="AA1105" s="2"/>
      <c r="AB1105" s="2"/>
      <c r="AC1105" s="2"/>
      <c r="AD1105" s="2"/>
      <c r="AE1105" s="2"/>
      <c r="AF1105" s="2"/>
      <c r="AG1105" s="2"/>
      <c r="AH1105" s="2"/>
      <c r="AI1105" s="2"/>
      <c r="AJ1105" s="2"/>
      <c r="AK1105" s="2"/>
    </row>
    <row r="1106" spans="2:37">
      <c r="B1106" s="1" t="s">
        <v>37</v>
      </c>
      <c r="C1106" s="337"/>
      <c r="D1106" s="336">
        <v>0</v>
      </c>
      <c r="E1106" s="327"/>
      <c r="F1106" s="652">
        <v>0</v>
      </c>
      <c r="G1106" s="653"/>
      <c r="H1106" s="330">
        <f t="shared" si="99"/>
        <v>0</v>
      </c>
      <c r="J1106" s="652">
        <v>0</v>
      </c>
      <c r="K1106" s="653"/>
      <c r="L1106" s="330">
        <f t="shared" si="100"/>
        <v>0</v>
      </c>
      <c r="M1106" s="2"/>
      <c r="N1106" s="2"/>
      <c r="O1106" s="2"/>
      <c r="P1106" s="2"/>
      <c r="Q1106" s="2"/>
      <c r="R1106" s="2"/>
      <c r="S1106" s="2"/>
      <c r="T1106" s="2"/>
      <c r="U1106" s="2"/>
      <c r="V1106" s="2"/>
      <c r="W1106" s="2"/>
      <c r="X1106" s="2"/>
      <c r="Y1106" s="2"/>
      <c r="Z1106" s="2"/>
      <c r="AA1106" s="2"/>
      <c r="AB1106" s="2"/>
      <c r="AC1106" s="2"/>
      <c r="AD1106" s="2"/>
      <c r="AE1106" s="2"/>
      <c r="AF1106" s="2"/>
      <c r="AG1106" s="2"/>
      <c r="AH1106" s="2"/>
      <c r="AI1106" s="2"/>
      <c r="AJ1106" s="2"/>
      <c r="AK1106" s="2"/>
    </row>
    <row r="1107" spans="2:37">
      <c r="B1107" s="324" t="s">
        <v>49</v>
      </c>
      <c r="C1107" s="338"/>
      <c r="D1107" s="339">
        <v>0</v>
      </c>
      <c r="E1107" s="327"/>
      <c r="F1107" s="654">
        <v>0</v>
      </c>
      <c r="G1107" s="655"/>
      <c r="H1107" s="332">
        <f t="shared" si="99"/>
        <v>0</v>
      </c>
      <c r="J1107" s="654">
        <v>0</v>
      </c>
      <c r="K1107" s="655"/>
      <c r="L1107" s="332">
        <f t="shared" si="100"/>
        <v>0</v>
      </c>
      <c r="M1107" s="2"/>
      <c r="N1107" s="2"/>
      <c r="O1107" s="2"/>
      <c r="P1107" s="2"/>
      <c r="Q1107" s="2"/>
      <c r="R1107" s="2"/>
      <c r="S1107" s="2"/>
      <c r="T1107" s="2"/>
      <c r="U1107" s="2"/>
      <c r="V1107" s="2"/>
      <c r="W1107" s="2"/>
      <c r="X1107" s="2"/>
      <c r="Y1107" s="2"/>
      <c r="Z1107" s="2"/>
      <c r="AA1107" s="2"/>
      <c r="AB1107" s="2"/>
      <c r="AC1107" s="2"/>
      <c r="AD1107" s="2"/>
      <c r="AE1107" s="2"/>
      <c r="AF1107" s="2"/>
      <c r="AG1107" s="2"/>
      <c r="AH1107" s="2"/>
      <c r="AI1107" s="2"/>
      <c r="AJ1107" s="2"/>
      <c r="AK1107" s="2"/>
    </row>
    <row r="1108" spans="2:37">
      <c r="B1108" s="370" t="str">
        <f>B338</f>
        <v>Career and Postsecondary Ed.</v>
      </c>
      <c r="C1108" s="337">
        <v>34</v>
      </c>
      <c r="D1108" s="336">
        <v>0</v>
      </c>
      <c r="E1108" s="327"/>
      <c r="F1108" s="652">
        <v>0</v>
      </c>
      <c r="G1108" s="653"/>
      <c r="H1108" s="330">
        <f t="shared" si="99"/>
        <v>0</v>
      </c>
      <c r="J1108" s="652">
        <v>0</v>
      </c>
      <c r="K1108" s="653"/>
      <c r="L1108" s="330">
        <f t="shared" si="100"/>
        <v>0</v>
      </c>
      <c r="M1108" s="2"/>
      <c r="N1108" s="2"/>
      <c r="O1108" s="2"/>
      <c r="P1108" s="2"/>
      <c r="Q1108" s="2"/>
      <c r="R1108" s="2"/>
      <c r="S1108" s="2"/>
      <c r="T1108" s="2"/>
      <c r="U1108" s="2"/>
      <c r="V1108" s="2"/>
      <c r="W1108" s="2"/>
      <c r="X1108" s="2"/>
      <c r="Y1108" s="2"/>
      <c r="Z1108" s="2"/>
      <c r="AA1108" s="2"/>
      <c r="AB1108" s="2"/>
      <c r="AC1108" s="2"/>
      <c r="AD1108" s="2"/>
      <c r="AE1108" s="2"/>
      <c r="AF1108" s="2"/>
      <c r="AG1108" s="2"/>
      <c r="AH1108" s="2"/>
      <c r="AI1108" s="2"/>
      <c r="AJ1108" s="2"/>
      <c r="AK1108" s="2"/>
    </row>
    <row r="1109" spans="2:37" ht="15.75">
      <c r="B1109" s="324" t="s">
        <v>178</v>
      </c>
      <c r="C1109" s="338">
        <v>35</v>
      </c>
      <c r="D1109" s="339">
        <v>0</v>
      </c>
      <c r="E1109" s="327"/>
      <c r="F1109" s="654">
        <v>0</v>
      </c>
      <c r="G1109" s="655"/>
      <c r="H1109" s="332">
        <f t="shared" si="99"/>
        <v>0</v>
      </c>
      <c r="J1109" s="654">
        <v>0</v>
      </c>
      <c r="K1109" s="655"/>
      <c r="L1109" s="332">
        <f t="shared" si="100"/>
        <v>0</v>
      </c>
      <c r="M1109" s="2"/>
      <c r="N1109" s="2"/>
      <c r="O1109" s="2"/>
      <c r="P1109" s="2"/>
      <c r="Q1109" s="2"/>
      <c r="R1109" s="2"/>
      <c r="S1109" s="2"/>
      <c r="T1109" s="2"/>
      <c r="U1109" s="2"/>
      <c r="V1109" s="2"/>
      <c r="W1109" s="2"/>
      <c r="X1109" s="2"/>
      <c r="Y1109" s="2"/>
      <c r="Z1109" s="2"/>
      <c r="AA1109" s="2"/>
      <c r="AB1109" s="2"/>
      <c r="AC1109" s="2"/>
      <c r="AD1109" s="2"/>
      <c r="AE1109" s="2"/>
      <c r="AF1109" s="2"/>
      <c r="AG1109" s="2"/>
      <c r="AH1109" s="2"/>
      <c r="AI1109" s="2"/>
      <c r="AJ1109" s="2"/>
      <c r="AK1109" s="2"/>
    </row>
    <row r="1110" spans="2:37">
      <c r="B1110" s="1" t="s">
        <v>71</v>
      </c>
      <c r="C1110" s="337"/>
      <c r="D1110" s="336">
        <v>0</v>
      </c>
      <c r="E1110" s="327"/>
      <c r="F1110" s="652">
        <v>0</v>
      </c>
      <c r="G1110" s="653"/>
      <c r="H1110" s="330">
        <f t="shared" si="99"/>
        <v>0</v>
      </c>
      <c r="J1110" s="652">
        <v>0</v>
      </c>
      <c r="K1110" s="653"/>
      <c r="L1110" s="330">
        <f t="shared" si="100"/>
        <v>0</v>
      </c>
      <c r="M1110" s="2"/>
      <c r="N1110" s="2"/>
      <c r="O1110" s="2"/>
      <c r="P1110" s="2"/>
      <c r="Q1110" s="2"/>
      <c r="R1110" s="2"/>
      <c r="S1110" s="2"/>
      <c r="T1110" s="2"/>
      <c r="U1110" s="2"/>
      <c r="V1110" s="2"/>
      <c r="W1110" s="2"/>
      <c r="X1110" s="2"/>
      <c r="Y1110" s="2"/>
      <c r="Z1110" s="2"/>
      <c r="AA1110" s="2"/>
      <c r="AB1110" s="2"/>
      <c r="AC1110" s="2"/>
      <c r="AD1110" s="2"/>
      <c r="AE1110" s="2"/>
      <c r="AF1110" s="2"/>
      <c r="AG1110" s="2"/>
      <c r="AH1110" s="2"/>
      <c r="AI1110" s="2"/>
      <c r="AJ1110" s="2"/>
      <c r="AK1110" s="2"/>
    </row>
    <row r="1111" spans="2:37">
      <c r="B1111" s="324" t="s">
        <v>51</v>
      </c>
      <c r="C1111" s="338">
        <v>44</v>
      </c>
      <c r="D1111" s="339">
        <v>0</v>
      </c>
      <c r="E1111" s="327"/>
      <c r="F1111" s="654">
        <v>0</v>
      </c>
      <c r="G1111" s="655"/>
      <c r="H1111" s="332">
        <f t="shared" si="99"/>
        <v>0</v>
      </c>
      <c r="J1111" s="654">
        <v>0</v>
      </c>
      <c r="K1111" s="655"/>
      <c r="L1111" s="332">
        <f t="shared" si="100"/>
        <v>0</v>
      </c>
      <c r="M1111" s="2"/>
      <c r="N1111" s="2"/>
      <c r="O1111" s="2"/>
      <c r="P1111" s="2"/>
      <c r="Q1111" s="2"/>
      <c r="R1111" s="2"/>
      <c r="S1111" s="2"/>
      <c r="T1111" s="2"/>
      <c r="U1111" s="2"/>
      <c r="V1111" s="2"/>
      <c r="W1111" s="2"/>
      <c r="X1111" s="2"/>
      <c r="Y1111" s="2"/>
      <c r="Z1111" s="2"/>
      <c r="AA1111" s="2"/>
      <c r="AB1111" s="2"/>
      <c r="AC1111" s="2"/>
      <c r="AD1111" s="2"/>
      <c r="AE1111" s="2"/>
      <c r="AF1111" s="2"/>
      <c r="AG1111" s="2"/>
      <c r="AH1111" s="2"/>
      <c r="AI1111" s="2"/>
      <c r="AJ1111" s="2"/>
      <c r="AK1111" s="2"/>
    </row>
    <row r="1112" spans="2:37">
      <c r="B1112" s="45" t="s">
        <v>52</v>
      </c>
      <c r="C1112" s="340"/>
      <c r="D1112" s="341">
        <v>0</v>
      </c>
      <c r="E1112" s="327"/>
      <c r="F1112" s="652">
        <v>0</v>
      </c>
      <c r="G1112" s="653"/>
      <c r="H1112" s="330">
        <f t="shared" si="99"/>
        <v>0</v>
      </c>
      <c r="J1112" s="652">
        <v>0</v>
      </c>
      <c r="K1112" s="653"/>
      <c r="L1112" s="330">
        <f t="shared" si="100"/>
        <v>0</v>
      </c>
      <c r="M1112" s="2"/>
      <c r="N1112" s="2"/>
      <c r="O1112" s="2"/>
      <c r="P1112" s="2"/>
      <c r="Q1112" s="2"/>
      <c r="R1112" s="2"/>
      <c r="S1112" s="2"/>
      <c r="T1112" s="2"/>
      <c r="U1112" s="2"/>
      <c r="V1112" s="2"/>
      <c r="W1112" s="2"/>
      <c r="X1112" s="2"/>
      <c r="Y1112" s="2"/>
      <c r="Z1112" s="2"/>
      <c r="AA1112" s="2"/>
      <c r="AB1112" s="2"/>
      <c r="AC1112" s="2"/>
      <c r="AD1112" s="2"/>
      <c r="AE1112" s="2"/>
      <c r="AF1112" s="2"/>
      <c r="AG1112" s="2"/>
      <c r="AH1112" s="2"/>
      <c r="AI1112" s="2"/>
      <c r="AJ1112" s="2"/>
      <c r="AK1112" s="2"/>
    </row>
    <row r="1113" spans="2:37">
      <c r="B1113" s="342" t="s">
        <v>72</v>
      </c>
      <c r="C1113" s="343">
        <v>46</v>
      </c>
      <c r="D1113" s="344">
        <v>0</v>
      </c>
      <c r="E1113" s="327"/>
      <c r="F1113" s="654">
        <v>0</v>
      </c>
      <c r="G1113" s="655"/>
      <c r="H1113" s="332">
        <f t="shared" si="99"/>
        <v>0</v>
      </c>
      <c r="J1113" s="676"/>
      <c r="K1113" s="677"/>
      <c r="L1113" s="345"/>
      <c r="M1113" s="2"/>
      <c r="N1113" s="2"/>
      <c r="O1113" s="2"/>
      <c r="P1113" s="2"/>
      <c r="Q1113" s="2"/>
      <c r="R1113" s="2"/>
      <c r="S1113" s="2"/>
      <c r="T1113" s="2"/>
      <c r="U1113" s="2"/>
      <c r="V1113" s="2"/>
      <c r="W1113" s="2"/>
      <c r="X1113" s="2"/>
      <c r="Y1113" s="2"/>
      <c r="Z1113" s="2"/>
      <c r="AA1113" s="2"/>
      <c r="AB1113" s="2"/>
      <c r="AC1113" s="2"/>
      <c r="AD1113" s="2"/>
      <c r="AE1113" s="2"/>
      <c r="AF1113" s="2"/>
      <c r="AG1113" s="2"/>
      <c r="AH1113" s="2"/>
      <c r="AI1113" s="2"/>
      <c r="AJ1113" s="2"/>
      <c r="AK1113" s="2"/>
    </row>
    <row r="1114" spans="2:37">
      <c r="B1114" s="45" t="s">
        <v>54</v>
      </c>
      <c r="C1114" s="340"/>
      <c r="D1114" s="341">
        <v>0</v>
      </c>
      <c r="E1114" s="327"/>
      <c r="F1114" s="652">
        <v>0</v>
      </c>
      <c r="G1114" s="653"/>
      <c r="H1114" s="330">
        <f t="shared" si="99"/>
        <v>0</v>
      </c>
      <c r="J1114" s="652">
        <v>0</v>
      </c>
      <c r="K1114" s="653"/>
      <c r="L1114" s="330">
        <f>IF(F1114=0,0,((J1114-F1114)/F1114))</f>
        <v>0</v>
      </c>
      <c r="M1114" s="2"/>
      <c r="N1114" s="2"/>
      <c r="O1114" s="2"/>
      <c r="P1114" s="2"/>
      <c r="Q1114" s="2"/>
      <c r="R1114" s="2"/>
      <c r="S1114" s="2"/>
      <c r="T1114" s="2"/>
      <c r="U1114" s="2"/>
      <c r="V1114" s="2"/>
      <c r="W1114" s="2"/>
      <c r="X1114" s="2"/>
      <c r="Y1114" s="2"/>
      <c r="Z1114" s="2"/>
      <c r="AA1114" s="2"/>
      <c r="AB1114" s="2"/>
      <c r="AC1114" s="2"/>
      <c r="AD1114" s="2"/>
      <c r="AE1114" s="2"/>
      <c r="AF1114" s="2"/>
      <c r="AG1114" s="2"/>
      <c r="AH1114" s="2"/>
      <c r="AI1114" s="2"/>
      <c r="AJ1114" s="2"/>
      <c r="AK1114" s="2"/>
    </row>
    <row r="1115" spans="2:37">
      <c r="B1115" s="342" t="s">
        <v>55</v>
      </c>
      <c r="C1115" s="343"/>
      <c r="D1115" s="344">
        <v>0</v>
      </c>
      <c r="E1115" s="327"/>
      <c r="F1115" s="654">
        <v>0</v>
      </c>
      <c r="G1115" s="655"/>
      <c r="H1115" s="332">
        <f t="shared" si="99"/>
        <v>0</v>
      </c>
      <c r="J1115" s="678"/>
      <c r="K1115" s="679"/>
      <c r="L1115" s="347"/>
      <c r="M1115" s="2"/>
      <c r="N1115" s="2"/>
      <c r="O1115" s="2"/>
      <c r="P1115" s="2"/>
      <c r="Q1115" s="2"/>
      <c r="R1115" s="2"/>
      <c r="S1115" s="2"/>
      <c r="T1115" s="2"/>
      <c r="U1115" s="2"/>
      <c r="V1115" s="2"/>
      <c r="W1115" s="2"/>
      <c r="X1115" s="2"/>
      <c r="Y1115" s="2"/>
      <c r="Z1115" s="2"/>
      <c r="AA1115" s="2"/>
      <c r="AB1115" s="2"/>
      <c r="AC1115" s="2"/>
      <c r="AD1115" s="2"/>
      <c r="AE1115" s="2"/>
      <c r="AF1115" s="2"/>
      <c r="AG1115" s="2"/>
      <c r="AH1115" s="2"/>
      <c r="AI1115" s="2"/>
      <c r="AJ1115" s="2"/>
      <c r="AK1115" s="2"/>
    </row>
    <row r="1116" spans="2:37">
      <c r="B1116" s="45" t="s">
        <v>78</v>
      </c>
      <c r="C1116" s="340">
        <v>54</v>
      </c>
      <c r="D1116" s="341">
        <v>0</v>
      </c>
      <c r="E1116" s="327"/>
      <c r="F1116" s="652">
        <v>0</v>
      </c>
      <c r="G1116" s="653"/>
      <c r="H1116" s="330">
        <f t="shared" si="99"/>
        <v>0</v>
      </c>
      <c r="J1116" s="680"/>
      <c r="K1116" s="681"/>
      <c r="L1116" s="348"/>
      <c r="M1116" s="2"/>
      <c r="N1116" s="2"/>
      <c r="O1116" s="2"/>
      <c r="P1116" s="2"/>
      <c r="Q1116" s="2"/>
      <c r="R1116" s="2"/>
      <c r="S1116" s="2"/>
      <c r="T1116" s="2"/>
      <c r="U1116" s="2"/>
      <c r="V1116" s="2"/>
      <c r="W1116" s="2"/>
      <c r="X1116" s="2"/>
      <c r="Y1116" s="2"/>
      <c r="Z1116" s="2"/>
      <c r="AA1116" s="2"/>
      <c r="AB1116" s="2"/>
      <c r="AC1116" s="2"/>
      <c r="AD1116" s="2"/>
      <c r="AE1116" s="2"/>
      <c r="AF1116" s="2"/>
      <c r="AG1116" s="2"/>
      <c r="AH1116" s="2"/>
      <c r="AI1116" s="2"/>
      <c r="AJ1116" s="2"/>
      <c r="AK1116" s="2"/>
    </row>
    <row r="1117" spans="2:37">
      <c r="B1117" s="342" t="s">
        <v>57</v>
      </c>
      <c r="C1117" s="343"/>
      <c r="D1117" s="344">
        <v>0</v>
      </c>
      <c r="E1117" s="327"/>
      <c r="F1117" s="654">
        <v>0</v>
      </c>
      <c r="G1117" s="655"/>
      <c r="H1117" s="332">
        <f t="shared" si="99"/>
        <v>0</v>
      </c>
      <c r="J1117" s="682"/>
      <c r="K1117" s="683"/>
      <c r="L1117" s="349"/>
      <c r="M1117" s="2"/>
      <c r="N1117" s="2"/>
      <c r="S1117" s="2"/>
      <c r="T1117" s="2"/>
      <c r="U1117" s="2"/>
      <c r="V1117" s="2"/>
      <c r="W1117" s="2"/>
      <c r="X1117" s="2"/>
      <c r="Y1117" s="2"/>
      <c r="Z1117" s="2"/>
      <c r="AA1117" s="2"/>
      <c r="AB1117" s="2"/>
      <c r="AC1117" s="2"/>
      <c r="AD1117" s="2"/>
      <c r="AE1117" s="2"/>
      <c r="AF1117" s="2"/>
      <c r="AG1117" s="2"/>
      <c r="AH1117" s="2"/>
      <c r="AI1117" s="2"/>
      <c r="AJ1117" s="2"/>
      <c r="AK1117" s="2"/>
    </row>
    <row r="1118" spans="2:37">
      <c r="B1118" s="350" t="str">
        <f>[1]OpenData!$O$44</f>
        <v>Bond and Interest #1</v>
      </c>
      <c r="C1118" s="340"/>
      <c r="D1118" s="329">
        <f>SUM([1]C062!$C$48:$C$50)</f>
        <v>153725</v>
      </c>
      <c r="E1118" s="327"/>
      <c r="F1118" s="671">
        <f>SUM([1]C062!$D$48:$D$50)</f>
        <v>154900</v>
      </c>
      <c r="G1118" s="653"/>
      <c r="H1118" s="330">
        <f t="shared" si="99"/>
        <v>0.01</v>
      </c>
      <c r="J1118" s="671">
        <f>SUM([1]C062!$E$48:$E$50)</f>
        <v>154900</v>
      </c>
      <c r="K1118" s="653"/>
      <c r="L1118" s="330">
        <f t="shared" ref="L1118:L1129" si="101">IF(F1118=0,0,((J1118-F1118)/F1118))</f>
        <v>0</v>
      </c>
      <c r="M1118" s="2"/>
      <c r="N1118" s="2"/>
      <c r="S1118" s="2"/>
      <c r="T1118" s="2"/>
      <c r="U1118" s="2"/>
      <c r="V1118" s="2"/>
      <c r="W1118" s="2"/>
      <c r="X1118" s="2"/>
      <c r="Y1118" s="2"/>
      <c r="Z1118" s="2"/>
      <c r="AA1118" s="2"/>
      <c r="AB1118" s="2"/>
      <c r="AC1118" s="2"/>
      <c r="AD1118" s="2"/>
      <c r="AE1118" s="2"/>
      <c r="AF1118" s="2"/>
      <c r="AG1118" s="2"/>
      <c r="AH1118" s="2"/>
      <c r="AI1118" s="2"/>
      <c r="AJ1118" s="2"/>
      <c r="AK1118" s="2"/>
    </row>
    <row r="1119" spans="2:37">
      <c r="B1119" s="351" t="str">
        <f>[1]OpenData!$O$46</f>
        <v>Bond and Interest #2</v>
      </c>
      <c r="C1119" s="343"/>
      <c r="D1119" s="346">
        <f>SUM([1]C063!$C$48:$C$50)</f>
        <v>0</v>
      </c>
      <c r="E1119" s="327"/>
      <c r="F1119" s="656">
        <f>SUM([1]C063!$D$48:$D$50)</f>
        <v>0</v>
      </c>
      <c r="G1119" s="655"/>
      <c r="H1119" s="332">
        <f t="shared" si="99"/>
        <v>0</v>
      </c>
      <c r="J1119" s="656">
        <f>SUM([1]C063!$E$48:$E$50)</f>
        <v>0</v>
      </c>
      <c r="K1119" s="655"/>
      <c r="L1119" s="332">
        <f t="shared" si="101"/>
        <v>0</v>
      </c>
      <c r="M1119" s="2"/>
      <c r="N1119" s="2"/>
      <c r="S1119" s="2"/>
      <c r="T1119" s="2"/>
      <c r="U1119" s="2"/>
      <c r="V1119" s="2"/>
      <c r="W1119" s="2"/>
      <c r="X1119" s="2"/>
      <c r="Y1119" s="2"/>
      <c r="Z1119" s="2"/>
      <c r="AA1119" s="2"/>
      <c r="AB1119" s="2"/>
      <c r="AC1119" s="2"/>
      <c r="AD1119" s="2"/>
      <c r="AE1119" s="2"/>
      <c r="AF1119" s="2"/>
      <c r="AG1119" s="2"/>
      <c r="AH1119" s="2"/>
      <c r="AI1119" s="2"/>
      <c r="AJ1119" s="2"/>
      <c r="AK1119" s="2"/>
    </row>
    <row r="1120" spans="2:37">
      <c r="B1120" s="45" t="s">
        <v>58</v>
      </c>
      <c r="C1120" s="340"/>
      <c r="D1120" s="329">
        <f>SUM([1]C066!$C$34:$C$35)</f>
        <v>0</v>
      </c>
      <c r="E1120" s="327"/>
      <c r="F1120" s="671">
        <f>SUM([1]C066!$D$34:$D$35)</f>
        <v>0</v>
      </c>
      <c r="G1120" s="653"/>
      <c r="H1120" s="330">
        <f t="shared" si="99"/>
        <v>0</v>
      </c>
      <c r="J1120" s="671">
        <f>SUM([1]C066!$E$34:$E$35)</f>
        <v>0</v>
      </c>
      <c r="K1120" s="653"/>
      <c r="L1120" s="330">
        <f t="shared" si="101"/>
        <v>0</v>
      </c>
      <c r="M1120" s="2"/>
      <c r="N1120" s="2"/>
      <c r="O1120" s="2"/>
      <c r="P1120" s="2"/>
      <c r="Q1120" s="2"/>
      <c r="R1120" s="2"/>
      <c r="S1120" s="2"/>
      <c r="T1120" s="2"/>
      <c r="U1120" s="2"/>
      <c r="V1120" s="2"/>
      <c r="W1120" s="2"/>
      <c r="X1120" s="2"/>
      <c r="Y1120" s="2"/>
      <c r="Z1120" s="2"/>
      <c r="AA1120" s="2"/>
      <c r="AB1120" s="2"/>
      <c r="AC1120" s="2"/>
      <c r="AD1120" s="2"/>
      <c r="AE1120" s="2"/>
      <c r="AF1120" s="2"/>
      <c r="AG1120" s="2"/>
      <c r="AH1120" s="2"/>
      <c r="AI1120" s="2"/>
      <c r="AJ1120" s="2"/>
      <c r="AK1120" s="2"/>
    </row>
    <row r="1121" spans="2:37">
      <c r="B1121" s="342" t="s">
        <v>59</v>
      </c>
      <c r="C1121" s="343">
        <v>67</v>
      </c>
      <c r="D1121" s="344">
        <v>0</v>
      </c>
      <c r="E1121" s="327"/>
      <c r="F1121" s="654">
        <v>0</v>
      </c>
      <c r="G1121" s="655"/>
      <c r="H1121" s="332">
        <f t="shared" si="99"/>
        <v>0</v>
      </c>
      <c r="J1121" s="654">
        <v>0</v>
      </c>
      <c r="K1121" s="655"/>
      <c r="L1121" s="332">
        <f t="shared" si="101"/>
        <v>0</v>
      </c>
      <c r="M1121" s="2"/>
      <c r="N1121" s="2"/>
      <c r="O1121" s="2"/>
      <c r="P1121" s="2"/>
      <c r="Q1121" s="2"/>
      <c r="R1121" s="2"/>
      <c r="S1121" s="2"/>
      <c r="T1121" s="2"/>
      <c r="U1121" s="2"/>
      <c r="V1121" s="2"/>
      <c r="W1121" s="2"/>
      <c r="X1121" s="2"/>
      <c r="Y1121" s="2"/>
      <c r="Z1121" s="2"/>
      <c r="AA1121" s="2"/>
      <c r="AB1121" s="2"/>
      <c r="AC1121" s="2"/>
      <c r="AD1121" s="2"/>
      <c r="AE1121" s="2"/>
      <c r="AF1121" s="2"/>
      <c r="AG1121" s="2"/>
      <c r="AH1121" s="2"/>
      <c r="AI1121" s="2"/>
      <c r="AJ1121" s="2"/>
      <c r="AK1121" s="2"/>
    </row>
    <row r="1122" spans="2:37" ht="15" thickBot="1">
      <c r="B1122" s="45" t="s">
        <v>60</v>
      </c>
      <c r="C1122" s="340"/>
      <c r="D1122" s="329">
        <f>SUM([1]C068!$C$35:$C$36)</f>
        <v>0</v>
      </c>
      <c r="E1122" s="327"/>
      <c r="F1122" s="860">
        <f>SUM([1]C068!$D$35:$D$36)</f>
        <v>0</v>
      </c>
      <c r="G1122" s="670"/>
      <c r="H1122" s="247">
        <f t="shared" si="99"/>
        <v>0</v>
      </c>
      <c r="J1122" s="860">
        <f>SUM([1]C068!$E$35:$E$36)</f>
        <v>0</v>
      </c>
      <c r="K1122" s="670"/>
      <c r="L1122" s="247">
        <f t="shared" si="101"/>
        <v>0</v>
      </c>
      <c r="M1122" s="2"/>
      <c r="N1122" s="2"/>
      <c r="O1122" s="2"/>
      <c r="P1122" s="2"/>
      <c r="Q1122" s="2"/>
      <c r="R1122" s="2"/>
      <c r="S1122" s="2"/>
      <c r="T1122" s="2"/>
      <c r="U1122" s="2"/>
      <c r="V1122" s="2"/>
      <c r="W1122" s="2"/>
      <c r="X1122" s="2"/>
      <c r="Y1122" s="2"/>
      <c r="Z1122" s="2"/>
      <c r="AA1122" s="2"/>
      <c r="AB1122" s="2"/>
      <c r="AC1122" s="2"/>
      <c r="AD1122" s="2"/>
      <c r="AE1122" s="2"/>
      <c r="AF1122" s="2"/>
      <c r="AG1122" s="2"/>
      <c r="AH1122" s="2"/>
      <c r="AI1122" s="2"/>
      <c r="AJ1122" s="2"/>
      <c r="AK1122" s="2"/>
    </row>
    <row r="1123" spans="2:37" ht="15" thickTop="1">
      <c r="B1123" s="353" t="s">
        <v>61</v>
      </c>
      <c r="C1123" s="353"/>
      <c r="D1123" s="371">
        <f>SUM(D1091:D1122)</f>
        <v>153725</v>
      </c>
      <c r="E1123" s="327"/>
      <c r="F1123" s="667">
        <f>SUM(F1091:G1122)</f>
        <v>154900</v>
      </c>
      <c r="G1123" s="668"/>
      <c r="H1123" s="372">
        <f t="shared" si="99"/>
        <v>0.01</v>
      </c>
      <c r="J1123" s="667">
        <f>SUM(J1091:K1122)</f>
        <v>154900</v>
      </c>
      <c r="K1123" s="668"/>
      <c r="L1123" s="372">
        <f t="shared" si="101"/>
        <v>0</v>
      </c>
      <c r="M1123" s="2"/>
      <c r="N1123" s="2"/>
      <c r="S1123" s="2"/>
      <c r="T1123" s="2"/>
      <c r="U1123" s="2"/>
      <c r="V1123" s="2"/>
      <c r="W1123" s="2"/>
      <c r="X1123" s="2"/>
      <c r="Y1123" s="2"/>
      <c r="Z1123" s="2"/>
      <c r="AA1123" s="2"/>
      <c r="AB1123" s="2"/>
      <c r="AC1123" s="2"/>
      <c r="AD1123" s="2"/>
      <c r="AE1123" s="2"/>
      <c r="AF1123" s="2"/>
      <c r="AG1123" s="2"/>
      <c r="AH1123" s="2"/>
      <c r="AI1123" s="2"/>
      <c r="AJ1123" s="2"/>
      <c r="AK1123" s="2"/>
    </row>
    <row r="1124" spans="2:37" ht="15.75">
      <c r="B1124" s="45" t="s">
        <v>181</v>
      </c>
      <c r="C1124" s="45"/>
      <c r="D1124" s="356">
        <f>G1312</f>
        <v>70.7</v>
      </c>
      <c r="E1124" s="327"/>
      <c r="F1124" s="665">
        <f>I1312</f>
        <v>82.5</v>
      </c>
      <c r="G1124" s="666"/>
      <c r="H1124" s="247">
        <f t="shared" si="99"/>
        <v>0.17</v>
      </c>
      <c r="J1124" s="665">
        <f>K1312</f>
        <v>70</v>
      </c>
      <c r="K1124" s="666"/>
      <c r="L1124" s="247">
        <f t="shared" si="101"/>
        <v>-0.15</v>
      </c>
      <c r="M1124" s="2"/>
      <c r="N1124" s="2"/>
      <c r="S1124" s="2"/>
      <c r="T1124" s="2"/>
      <c r="U1124" s="2"/>
      <c r="V1124" s="2"/>
      <c r="W1124" s="2"/>
      <c r="X1124" s="2"/>
      <c r="Y1124" s="2"/>
      <c r="Z1124" s="2"/>
      <c r="AA1124" s="2"/>
      <c r="AB1124" s="2"/>
      <c r="AC1124" s="2"/>
      <c r="AD1124" s="2"/>
      <c r="AE1124" s="2"/>
      <c r="AF1124" s="2"/>
      <c r="AG1124" s="2"/>
      <c r="AH1124" s="2"/>
      <c r="AI1124" s="2"/>
      <c r="AJ1124" s="2"/>
      <c r="AK1124" s="2"/>
    </row>
    <row r="1125" spans="2:37" ht="16.5" thickBot="1">
      <c r="B1125" s="394" t="s">
        <v>182</v>
      </c>
      <c r="C1125" s="394"/>
      <c r="D1125" s="395">
        <f>IF(D1123=0,0,D1123/D1124)</f>
        <v>2174</v>
      </c>
      <c r="E1125" s="327"/>
      <c r="F1125" s="663">
        <f>IF(F1123=0,0,F1123/F1124)</f>
        <v>1878</v>
      </c>
      <c r="G1125" s="664"/>
      <c r="H1125" s="357">
        <f t="shared" si="99"/>
        <v>-0.14000000000000001</v>
      </c>
      <c r="J1125" s="663">
        <f>IF(J1123=0,0,J1123/J1124)</f>
        <v>2213</v>
      </c>
      <c r="K1125" s="664"/>
      <c r="L1125" s="357">
        <f t="shared" si="101"/>
        <v>0.18</v>
      </c>
      <c r="M1125" s="2"/>
      <c r="N1125" s="2"/>
      <c r="O1125" s="2"/>
      <c r="P1125" s="2"/>
      <c r="Q1125" s="2"/>
      <c r="R1125" s="2"/>
      <c r="S1125" s="2"/>
      <c r="T1125" s="2"/>
      <c r="U1125" s="2"/>
      <c r="V1125" s="2"/>
      <c r="W1125" s="2"/>
      <c r="X1125" s="2"/>
      <c r="Y1125" s="2"/>
      <c r="Z1125" s="2"/>
      <c r="AA1125" s="2"/>
      <c r="AB1125" s="2"/>
      <c r="AC1125" s="2"/>
      <c r="AD1125" s="2"/>
      <c r="AE1125" s="2"/>
      <c r="AF1125" s="2"/>
      <c r="AG1125" s="2"/>
      <c r="AH1125" s="2"/>
      <c r="AI1125" s="2"/>
      <c r="AJ1125" s="2"/>
      <c r="AK1125" s="2"/>
    </row>
    <row r="1126" spans="2:37">
      <c r="B1126" s="235" t="s">
        <v>63</v>
      </c>
      <c r="C1126" s="340">
        <v>10</v>
      </c>
      <c r="D1126" s="341">
        <v>0</v>
      </c>
      <c r="E1126" s="327"/>
      <c r="F1126" s="652">
        <v>0</v>
      </c>
      <c r="G1126" s="653"/>
      <c r="H1126" s="330">
        <f t="shared" si="99"/>
        <v>0</v>
      </c>
      <c r="J1126" s="652">
        <v>0</v>
      </c>
      <c r="K1126" s="653"/>
      <c r="L1126" s="330">
        <f t="shared" si="101"/>
        <v>0</v>
      </c>
      <c r="M1126" s="2"/>
      <c r="N1126" s="2"/>
      <c r="O1126" s="2"/>
      <c r="P1126" s="2"/>
      <c r="Q1126" s="2"/>
      <c r="R1126" s="2"/>
      <c r="S1126" s="2"/>
      <c r="T1126" s="2"/>
      <c r="U1126" s="2"/>
      <c r="V1126" s="2"/>
      <c r="W1126" s="2"/>
      <c r="X1126" s="2"/>
      <c r="Y1126" s="2"/>
      <c r="Z1126" s="2"/>
      <c r="AA1126" s="2"/>
      <c r="AB1126" s="2"/>
      <c r="AC1126" s="2"/>
      <c r="AD1126" s="2"/>
      <c r="AE1126" s="2"/>
      <c r="AF1126" s="2"/>
      <c r="AG1126" s="2"/>
      <c r="AH1126" s="2"/>
      <c r="AI1126" s="2"/>
      <c r="AJ1126" s="2"/>
      <c r="AK1126" s="2"/>
    </row>
    <row r="1127" spans="2:37">
      <c r="B1127" s="342" t="s">
        <v>64</v>
      </c>
      <c r="C1127" s="342">
        <v>12</v>
      </c>
      <c r="D1127" s="339">
        <v>0</v>
      </c>
      <c r="E1127" s="327"/>
      <c r="F1127" s="654">
        <v>0</v>
      </c>
      <c r="G1127" s="655"/>
      <c r="H1127" s="332">
        <f t="shared" si="99"/>
        <v>0</v>
      </c>
      <c r="J1127" s="654">
        <v>0</v>
      </c>
      <c r="K1127" s="655"/>
      <c r="L1127" s="332">
        <f t="shared" si="101"/>
        <v>0</v>
      </c>
      <c r="M1127" s="2"/>
      <c r="N1127" s="2"/>
      <c r="O1127" s="2"/>
      <c r="P1127" s="2"/>
      <c r="Q1127" s="2"/>
      <c r="R1127" s="2"/>
      <c r="S1127" s="2"/>
      <c r="T1127" s="2"/>
      <c r="U1127" s="2"/>
      <c r="V1127" s="2"/>
      <c r="W1127" s="2"/>
      <c r="X1127" s="2"/>
      <c r="Y1127" s="2"/>
      <c r="Z1127" s="2"/>
      <c r="AA1127" s="2"/>
      <c r="AB1127" s="2"/>
      <c r="AC1127" s="2"/>
      <c r="AD1127" s="2"/>
      <c r="AE1127" s="2"/>
      <c r="AF1127" s="2"/>
      <c r="AG1127" s="2"/>
      <c r="AH1127" s="2"/>
      <c r="AI1127" s="2"/>
      <c r="AJ1127" s="2"/>
      <c r="AK1127" s="2"/>
    </row>
    <row r="1128" spans="2:37" ht="15" thickBot="1">
      <c r="B1128" s="361" t="s">
        <v>65</v>
      </c>
      <c r="C1128" s="361">
        <v>78</v>
      </c>
      <c r="D1128" s="391">
        <v>0</v>
      </c>
      <c r="E1128" s="327"/>
      <c r="F1128" s="659">
        <v>0</v>
      </c>
      <c r="G1128" s="660"/>
      <c r="H1128" s="363">
        <f t="shared" si="99"/>
        <v>0</v>
      </c>
      <c r="J1128" s="659">
        <v>0</v>
      </c>
      <c r="K1128" s="660"/>
      <c r="L1128" s="363">
        <f t="shared" si="101"/>
        <v>0</v>
      </c>
      <c r="M1128" s="2"/>
      <c r="N1128" s="2"/>
      <c r="O1128" s="2"/>
      <c r="P1128" s="2"/>
      <c r="Q1128" s="2"/>
      <c r="R1128" s="2"/>
      <c r="S1128" s="2"/>
      <c r="T1128" s="2"/>
      <c r="U1128" s="2"/>
      <c r="V1128" s="2"/>
      <c r="W1128" s="2"/>
      <c r="X1128" s="2"/>
      <c r="Y1128" s="2"/>
      <c r="Z1128" s="2"/>
      <c r="AA1128" s="2"/>
      <c r="AB1128" s="2"/>
      <c r="AC1128" s="2"/>
      <c r="AD1128" s="2"/>
      <c r="AE1128" s="2"/>
      <c r="AF1128" s="2"/>
      <c r="AG1128" s="2"/>
      <c r="AH1128" s="2"/>
      <c r="AI1128" s="2"/>
      <c r="AJ1128" s="2"/>
      <c r="AK1128" s="2"/>
    </row>
    <row r="1129" spans="2:37" ht="15" thickTop="1">
      <c r="B1129" s="365" t="s">
        <v>66</v>
      </c>
      <c r="C1129" s="365"/>
      <c r="D1129" s="373">
        <f>SUM(D1126:D1128,D1123)</f>
        <v>153725</v>
      </c>
      <c r="E1129" s="327"/>
      <c r="F1129" s="657">
        <f>SUM(F1126:G1128,F1123)</f>
        <v>154900</v>
      </c>
      <c r="G1129" s="658"/>
      <c r="H1129" s="374">
        <f t="shared" si="99"/>
        <v>0.01</v>
      </c>
      <c r="J1129" s="657">
        <f>SUM(J1126:K1128,J1123)</f>
        <v>154900</v>
      </c>
      <c r="K1129" s="658"/>
      <c r="L1129" s="374">
        <f t="shared" si="101"/>
        <v>0</v>
      </c>
      <c r="M1129" s="2"/>
      <c r="N1129" s="2"/>
      <c r="O1129" s="2"/>
      <c r="P1129" s="2"/>
      <c r="Q1129" s="2"/>
      <c r="R1129" s="2"/>
      <c r="S1129" s="2"/>
      <c r="T1129" s="2"/>
      <c r="U1129" s="2"/>
      <c r="V1129" s="2"/>
      <c r="W1129" s="2"/>
      <c r="X1129" s="2"/>
      <c r="Y1129" s="2"/>
      <c r="Z1129" s="2"/>
      <c r="AA1129" s="2"/>
      <c r="AB1129" s="2"/>
      <c r="AC1129" s="2"/>
      <c r="AD1129" s="2"/>
      <c r="AE1129" s="2"/>
      <c r="AF1129" s="2"/>
      <c r="AG1129" s="2"/>
      <c r="AH1129" s="2"/>
      <c r="AI1129" s="2"/>
      <c r="AJ1129" s="2"/>
      <c r="AK1129" s="2"/>
    </row>
    <row r="1130" spans="2:37" ht="6.75" customHeight="1">
      <c r="B1130" s="2"/>
      <c r="C1130" s="2"/>
      <c r="D1130" s="159"/>
      <c r="E1130" s="165"/>
      <c r="F1130" s="159"/>
      <c r="G1130" s="201"/>
      <c r="H1130" s="2"/>
      <c r="I1130" s="159"/>
      <c r="J1130" s="201"/>
      <c r="K1130" s="2"/>
      <c r="L1130" s="2"/>
      <c r="M1130" s="2"/>
      <c r="N1130" s="2"/>
      <c r="O1130" s="2"/>
      <c r="P1130" s="2"/>
      <c r="Q1130" s="2"/>
      <c r="R1130" s="2"/>
      <c r="S1130" s="2"/>
      <c r="T1130" s="2"/>
      <c r="U1130" s="2"/>
      <c r="V1130" s="2"/>
      <c r="W1130" s="2"/>
      <c r="X1130" s="2"/>
      <c r="Y1130" s="2"/>
      <c r="Z1130" s="2"/>
      <c r="AA1130" s="2"/>
      <c r="AB1130" s="2"/>
      <c r="AC1130" s="2"/>
      <c r="AD1130" s="2"/>
      <c r="AE1130" s="2"/>
      <c r="AF1130" s="2"/>
      <c r="AG1130" s="2"/>
      <c r="AH1130" s="2"/>
      <c r="AI1130" s="2"/>
      <c r="AJ1130" s="2"/>
      <c r="AK1130" s="2"/>
    </row>
    <row r="1131" spans="2:37">
      <c r="B1131" s="650"/>
      <c r="C1131" s="650"/>
      <c r="D1131" s="650"/>
      <c r="E1131" s="650"/>
      <c r="F1131" s="650"/>
      <c r="G1131" s="650"/>
      <c r="H1131" s="650"/>
      <c r="I1131" s="650"/>
      <c r="J1131" s="650"/>
      <c r="K1131" s="650"/>
      <c r="L1131" s="650"/>
      <c r="M1131" s="2"/>
      <c r="N1131" s="2"/>
      <c r="O1131" s="2"/>
      <c r="P1131" s="2"/>
      <c r="Q1131" s="2"/>
      <c r="R1131" s="2"/>
      <c r="S1131" s="2"/>
      <c r="T1131" s="2"/>
      <c r="U1131" s="2"/>
      <c r="V1131" s="2"/>
      <c r="W1131" s="2"/>
      <c r="X1131" s="2"/>
      <c r="Y1131" s="2"/>
      <c r="Z1131" s="2"/>
      <c r="AA1131" s="2"/>
      <c r="AB1131" s="2"/>
      <c r="AC1131" s="2"/>
      <c r="AD1131" s="2"/>
      <c r="AE1131" s="2"/>
      <c r="AF1131" s="2"/>
      <c r="AG1131" s="2"/>
      <c r="AH1131" s="2"/>
      <c r="AI1131" s="2"/>
      <c r="AJ1131" s="2"/>
      <c r="AK1131" s="2"/>
    </row>
    <row r="1132" spans="2:37">
      <c r="B1132" s="650"/>
      <c r="C1132" s="650"/>
      <c r="D1132" s="650"/>
      <c r="E1132" s="650"/>
      <c r="F1132" s="650"/>
      <c r="G1132" s="650"/>
      <c r="H1132" s="650"/>
      <c r="I1132" s="650"/>
      <c r="J1132" s="650"/>
      <c r="K1132" s="650"/>
      <c r="L1132" s="650"/>
      <c r="M1132" s="2"/>
      <c r="N1132" s="2"/>
      <c r="O1132" s="2"/>
      <c r="P1132" s="2"/>
      <c r="Q1132" s="2"/>
      <c r="R1132" s="2"/>
      <c r="S1132" s="2"/>
      <c r="T1132" s="2"/>
      <c r="U1132" s="2"/>
      <c r="V1132" s="2"/>
      <c r="W1132" s="2"/>
      <c r="X1132" s="2"/>
      <c r="Y1132" s="2"/>
      <c r="Z1132" s="2"/>
      <c r="AA1132" s="2"/>
      <c r="AB1132" s="2"/>
      <c r="AC1132" s="2"/>
      <c r="AD1132" s="2"/>
      <c r="AE1132" s="2"/>
      <c r="AF1132" s="2"/>
      <c r="AG1132" s="2"/>
      <c r="AH1132" s="2"/>
      <c r="AI1132" s="2"/>
      <c r="AJ1132" s="2"/>
      <c r="AK1132" s="2"/>
    </row>
    <row r="1133" spans="2:37">
      <c r="B1133" s="650"/>
      <c r="C1133" s="650"/>
      <c r="D1133" s="650"/>
      <c r="E1133" s="650"/>
      <c r="F1133" s="650"/>
      <c r="G1133" s="650"/>
      <c r="H1133" s="650"/>
      <c r="I1133" s="650"/>
      <c r="J1133" s="650"/>
      <c r="K1133" s="650"/>
      <c r="L1133" s="650"/>
      <c r="M1133" s="2"/>
      <c r="N1133" s="2"/>
      <c r="O1133" s="2"/>
      <c r="P1133" s="2"/>
      <c r="Q1133" s="2"/>
      <c r="R1133" s="2"/>
      <c r="S1133" s="2"/>
      <c r="T1133" s="2"/>
      <c r="U1133" s="2"/>
      <c r="V1133" s="2"/>
      <c r="W1133" s="2"/>
      <c r="X1133" s="2"/>
      <c r="Y1133" s="2"/>
      <c r="Z1133" s="2"/>
      <c r="AA1133" s="2"/>
      <c r="AB1133" s="2"/>
      <c r="AC1133" s="2"/>
      <c r="AD1133" s="2"/>
      <c r="AE1133" s="2"/>
      <c r="AF1133" s="2"/>
      <c r="AG1133" s="2"/>
      <c r="AH1133" s="2"/>
      <c r="AI1133" s="2"/>
      <c r="AJ1133" s="2"/>
      <c r="AK1133" s="2"/>
    </row>
    <row r="1134" spans="2:37">
      <c r="B1134" s="208"/>
      <c r="C1134" s="2"/>
      <c r="D1134" s="159"/>
      <c r="E1134" s="2"/>
      <c r="F1134" s="159"/>
      <c r="G1134" s="201"/>
      <c r="H1134" s="2"/>
      <c r="I1134" s="159"/>
      <c r="J1134" s="201"/>
      <c r="K1134" s="2"/>
      <c r="L1134" s="2"/>
      <c r="M1134" s="2"/>
      <c r="N1134" s="2"/>
      <c r="O1134" s="2"/>
      <c r="P1134" s="2"/>
      <c r="Q1134" s="2"/>
      <c r="R1134" s="2"/>
      <c r="S1134" s="2"/>
      <c r="T1134" s="2"/>
      <c r="U1134" s="2"/>
      <c r="V1134" s="2"/>
      <c r="W1134" s="2"/>
      <c r="X1134" s="2"/>
      <c r="Y1134" s="2"/>
      <c r="Z1134" s="2"/>
      <c r="AA1134" s="2"/>
      <c r="AB1134" s="2"/>
      <c r="AC1134" s="2"/>
      <c r="AD1134" s="2"/>
      <c r="AE1134" s="2"/>
      <c r="AF1134" s="2"/>
      <c r="AG1134" s="2"/>
      <c r="AH1134" s="2"/>
      <c r="AI1134" s="2"/>
      <c r="AJ1134" s="2"/>
      <c r="AK1134" s="2"/>
    </row>
    <row r="1135" spans="2:37">
      <c r="B1135" s="2"/>
      <c r="C1135" s="2"/>
      <c r="D1135" s="159"/>
      <c r="E1135" s="2"/>
      <c r="F1135" s="159"/>
      <c r="G1135" s="201"/>
      <c r="H1135" s="2"/>
      <c r="I1135" s="159"/>
      <c r="J1135" s="201"/>
      <c r="K1135" s="2"/>
      <c r="L1135" s="2"/>
      <c r="M1135" s="2"/>
      <c r="N1135" s="2"/>
      <c r="O1135" s="2"/>
      <c r="P1135" s="2"/>
      <c r="Q1135" s="2"/>
      <c r="R1135" s="2"/>
      <c r="S1135" s="2"/>
      <c r="T1135" s="2"/>
      <c r="U1135" s="2"/>
      <c r="V1135" s="2"/>
      <c r="W1135" s="2"/>
      <c r="X1135" s="2"/>
      <c r="Y1135" s="2"/>
      <c r="Z1135" s="2"/>
      <c r="AA1135" s="2"/>
      <c r="AB1135" s="2"/>
      <c r="AC1135" s="2"/>
      <c r="AD1135" s="2"/>
      <c r="AE1135" s="2"/>
      <c r="AF1135" s="2"/>
      <c r="AG1135" s="2"/>
      <c r="AH1135" s="2"/>
      <c r="AI1135" s="2"/>
      <c r="AJ1135" s="2"/>
      <c r="AK1135" s="2"/>
    </row>
    <row r="1136" spans="2:37">
      <c r="B1136" s="2"/>
      <c r="C1136" s="2"/>
      <c r="D1136" s="2"/>
      <c r="E1136" s="2"/>
      <c r="F1136" s="46"/>
      <c r="G1136" s="46"/>
      <c r="H1136" s="46"/>
      <c r="I1136" s="392"/>
      <c r="J1136" s="392"/>
      <c r="K1136" s="2"/>
      <c r="L1136" s="2"/>
      <c r="M1136" s="2"/>
      <c r="N1136" s="2"/>
      <c r="O1136" s="2"/>
      <c r="P1136" s="2"/>
      <c r="Q1136" s="2"/>
      <c r="R1136" s="2"/>
      <c r="S1136" s="2"/>
      <c r="T1136" s="2"/>
      <c r="U1136" s="2"/>
      <c r="V1136" s="2"/>
      <c r="W1136" s="2"/>
      <c r="X1136" s="2"/>
      <c r="Y1136" s="2"/>
      <c r="Z1136" s="2"/>
      <c r="AA1136" s="2"/>
      <c r="AB1136" s="2"/>
      <c r="AC1136" s="2"/>
      <c r="AD1136" s="2"/>
      <c r="AE1136" s="2"/>
      <c r="AF1136" s="2"/>
      <c r="AG1136" s="2"/>
      <c r="AH1136" s="2"/>
      <c r="AI1136" s="2"/>
      <c r="AJ1136" s="2"/>
      <c r="AK1136" s="2"/>
    </row>
    <row r="1137" spans="2:37">
      <c r="M1137" s="2"/>
      <c r="N1137" s="2"/>
      <c r="O1137" s="2"/>
      <c r="P1137" s="2"/>
      <c r="Q1137" s="2"/>
      <c r="R1137" s="2"/>
      <c r="S1137" s="2"/>
      <c r="T1137" s="2"/>
      <c r="U1137" s="2"/>
      <c r="V1137" s="2"/>
      <c r="W1137" s="2"/>
      <c r="X1137" s="2"/>
      <c r="Y1137" s="2"/>
      <c r="Z1137" s="2"/>
      <c r="AA1137" s="2"/>
      <c r="AB1137" s="2"/>
      <c r="AC1137" s="2"/>
      <c r="AD1137" s="2"/>
      <c r="AE1137" s="2"/>
      <c r="AF1137" s="2"/>
      <c r="AG1137" s="2"/>
      <c r="AH1137" s="2"/>
      <c r="AI1137" s="2"/>
      <c r="AJ1137" s="2"/>
      <c r="AK1137" s="2"/>
    </row>
    <row r="1138" spans="2:37" ht="15" customHeight="1">
      <c r="M1138" s="2"/>
      <c r="N1138" s="2"/>
      <c r="O1138" s="2"/>
      <c r="P1138" s="2"/>
      <c r="Q1138" s="2"/>
      <c r="R1138" s="2"/>
      <c r="S1138" s="2"/>
      <c r="T1138" s="2"/>
      <c r="U1138" s="2"/>
      <c r="V1138" s="2"/>
      <c r="W1138" s="2"/>
      <c r="X1138" s="2"/>
      <c r="Y1138" s="2"/>
      <c r="Z1138" s="2"/>
      <c r="AA1138" s="2"/>
      <c r="AB1138" s="2"/>
      <c r="AC1138" s="2"/>
      <c r="AD1138" s="2"/>
      <c r="AE1138" s="2"/>
      <c r="AF1138" s="2"/>
      <c r="AG1138" s="2"/>
      <c r="AH1138" s="2"/>
      <c r="AI1138" s="2"/>
      <c r="AJ1138" s="2"/>
      <c r="AK1138" s="2"/>
    </row>
    <row r="1139" spans="2:37" ht="15" customHeight="1">
      <c r="M1139" s="2"/>
      <c r="N1139" s="2"/>
      <c r="O1139" s="2"/>
      <c r="P1139" s="2"/>
      <c r="Q1139" s="2"/>
      <c r="R1139" s="2"/>
      <c r="S1139" s="2"/>
      <c r="T1139" s="2"/>
      <c r="U1139" s="2"/>
      <c r="V1139" s="2"/>
      <c r="W1139" s="2"/>
      <c r="X1139" s="2"/>
      <c r="Y1139" s="2"/>
      <c r="Z1139" s="2"/>
      <c r="AA1139" s="2"/>
      <c r="AB1139" s="2"/>
      <c r="AC1139" s="2"/>
      <c r="AD1139" s="2"/>
      <c r="AE1139" s="2"/>
      <c r="AF1139" s="2"/>
      <c r="AG1139" s="2"/>
      <c r="AH1139" s="2"/>
      <c r="AI1139" s="2"/>
      <c r="AJ1139" s="2"/>
      <c r="AK1139" s="2"/>
    </row>
    <row r="1140" spans="2:37" ht="15" customHeight="1">
      <c r="M1140" s="2"/>
      <c r="N1140" s="2"/>
      <c r="O1140" s="2"/>
      <c r="P1140" s="2"/>
      <c r="Q1140" s="2"/>
      <c r="R1140" s="2"/>
      <c r="S1140" s="2"/>
      <c r="T1140" s="2"/>
      <c r="U1140" s="396"/>
      <c r="V1140" s="2"/>
      <c r="W1140" s="2"/>
      <c r="X1140" s="2"/>
      <c r="Y1140" s="2"/>
      <c r="Z1140" s="2"/>
      <c r="AA1140" s="2"/>
      <c r="AB1140" s="2"/>
      <c r="AC1140" s="2"/>
      <c r="AD1140" s="2"/>
      <c r="AE1140" s="2"/>
      <c r="AF1140" s="2"/>
      <c r="AG1140" s="2"/>
      <c r="AH1140" s="2"/>
      <c r="AI1140" s="2"/>
      <c r="AJ1140" s="2"/>
      <c r="AK1140" s="2"/>
    </row>
    <row r="1141" spans="2:37" ht="17.25" customHeight="1">
      <c r="M1141" s="2"/>
      <c r="N1141" s="2"/>
      <c r="O1141" s="2"/>
      <c r="P1141" s="2"/>
      <c r="Q1141" s="396"/>
      <c r="R1141" s="397" t="str">
        <f>E1309</f>
        <v>2022-2023</v>
      </c>
      <c r="S1141" s="397" t="str">
        <f>G1309</f>
        <v>2023-2024</v>
      </c>
      <c r="T1141" s="397" t="str">
        <f>I1309</f>
        <v>2024-2025</v>
      </c>
      <c r="U1141" s="398">
        <f>K1312</f>
        <v>70</v>
      </c>
      <c r="V1141" s="2"/>
      <c r="W1141" s="2"/>
      <c r="X1141" s="2"/>
      <c r="Y1141" s="2"/>
      <c r="Z1141" s="2"/>
      <c r="AA1141" s="2"/>
      <c r="AB1141" s="2"/>
      <c r="AC1141" s="2"/>
      <c r="AD1141" s="2"/>
      <c r="AE1141" s="2"/>
      <c r="AF1141" s="2"/>
      <c r="AG1141" s="2"/>
      <c r="AH1141" s="2"/>
      <c r="AI1141" s="2"/>
      <c r="AJ1141" s="2"/>
      <c r="AK1141" s="2"/>
    </row>
    <row r="1142" spans="2:37" ht="15" customHeight="1">
      <c r="M1142" s="2"/>
      <c r="N1142" s="2"/>
      <c r="O1142" s="2"/>
      <c r="P1142" s="2"/>
      <c r="Q1142" s="397" t="str">
        <f>B1312</f>
        <v>FTE Enrollment (incl. Virtual)¹</v>
      </c>
      <c r="R1142" s="398">
        <f>E1312</f>
        <v>67.5</v>
      </c>
      <c r="S1142" s="398">
        <f>G1312</f>
        <v>70.7</v>
      </c>
      <c r="T1142" s="398">
        <f>I1312</f>
        <v>82.5</v>
      </c>
      <c r="U1142" s="2"/>
      <c r="V1142" s="2"/>
      <c r="W1142" s="2"/>
      <c r="X1142" s="2"/>
      <c r="Y1142" s="2"/>
      <c r="Z1142" s="2"/>
      <c r="AA1142" s="2"/>
      <c r="AB1142" s="2"/>
      <c r="AC1142" s="2"/>
      <c r="AD1142" s="2"/>
      <c r="AE1142" s="2"/>
      <c r="AF1142" s="2"/>
      <c r="AG1142" s="2"/>
      <c r="AH1142" s="2"/>
      <c r="AI1142" s="2"/>
      <c r="AJ1142" s="2"/>
      <c r="AK1142" s="2"/>
    </row>
    <row r="1143" spans="2:37">
      <c r="M1143" s="2"/>
      <c r="N1143" s="2"/>
      <c r="O1143" s="2"/>
      <c r="P1143" s="2"/>
      <c r="Q1143" s="2"/>
      <c r="R1143" s="2"/>
      <c r="S1143" s="2"/>
      <c r="T1143" s="2"/>
      <c r="U1143" s="2"/>
      <c r="V1143" s="2"/>
      <c r="W1143" s="2"/>
      <c r="X1143" s="2"/>
      <c r="Y1143" s="2"/>
      <c r="Z1143" s="2"/>
      <c r="AA1143" s="2"/>
      <c r="AB1143" s="2"/>
      <c r="AC1143" s="2"/>
      <c r="AD1143" s="2"/>
      <c r="AE1143" s="2"/>
      <c r="AF1143" s="2"/>
      <c r="AG1143" s="2"/>
      <c r="AH1143" s="2"/>
      <c r="AI1143" s="2"/>
      <c r="AJ1143" s="2"/>
      <c r="AK1143" s="2"/>
    </row>
    <row r="1144" spans="2:37">
      <c r="M1144" s="2"/>
      <c r="N1144" s="2"/>
      <c r="O1144" s="2"/>
      <c r="P1144" s="82" t="str">
        <f>D4</f>
        <v>2023-2024</v>
      </c>
      <c r="Q1144" s="82" t="str">
        <f>F4</f>
        <v>2024-2025</v>
      </c>
      <c r="R1144" s="82" t="str">
        <f>I4</f>
        <v>2025-2026</v>
      </c>
      <c r="S1144" s="2"/>
      <c r="T1144" s="2"/>
      <c r="U1144" s="2"/>
      <c r="V1144" s="2"/>
      <c r="W1144" s="2"/>
      <c r="X1144" s="2"/>
      <c r="Y1144" s="2"/>
      <c r="Z1144" s="2"/>
      <c r="AA1144" s="2"/>
      <c r="AB1144" s="2"/>
      <c r="AC1144" s="2"/>
      <c r="AD1144" s="2"/>
      <c r="AE1144" s="2"/>
      <c r="AF1144" s="2"/>
      <c r="AG1144" s="2"/>
      <c r="AH1144" s="2"/>
      <c r="AI1144" s="2"/>
      <c r="AJ1144" s="2"/>
      <c r="AK1144" s="2"/>
    </row>
    <row r="1145" spans="2:37">
      <c r="M1145" s="2"/>
      <c r="N1145" s="2"/>
      <c r="O1145" s="140" t="str">
        <f>$B1087</f>
        <v>Debt Service Expenditures (5100)</v>
      </c>
      <c r="P1145" s="207">
        <f>IF(AND($D1129&lt;=0,$F1129&lt;=0,$J1129&lt;=0),#N/A,IF($D1129&lt;=0,0,$D1129))</f>
        <v>153725</v>
      </c>
      <c r="Q1145" s="207">
        <f>IF(AND($D1129&lt;=0,$F1129&lt;=0,$J1129&lt;=0),#N/A,IF($F1129&lt;=0,0,$F1129))</f>
        <v>154900</v>
      </c>
      <c r="R1145" s="207">
        <f>IF(AND($D1129&lt;=0,$F1129&lt;=0,$J1129&lt;=0),#N/A,IF($J1129&lt;=0,0,$J1129))</f>
        <v>154900</v>
      </c>
      <c r="S1145" s="2"/>
      <c r="T1145" s="2"/>
      <c r="U1145" s="2"/>
      <c r="V1145" s="2"/>
      <c r="W1145" s="2"/>
      <c r="X1145" s="2"/>
      <c r="Y1145" s="2"/>
      <c r="Z1145" s="2"/>
      <c r="AA1145" s="2"/>
      <c r="AB1145" s="2"/>
      <c r="AC1145" s="2"/>
      <c r="AD1145" s="2"/>
      <c r="AE1145" s="2"/>
      <c r="AF1145" s="2"/>
      <c r="AG1145" s="2"/>
      <c r="AH1145" s="2"/>
      <c r="AI1145" s="2"/>
      <c r="AJ1145" s="2"/>
      <c r="AK1145" s="2"/>
    </row>
    <row r="1146" spans="2:37">
      <c r="M1146" s="2"/>
      <c r="N1146" s="2"/>
      <c r="O1146" s="2"/>
      <c r="P1146" s="2"/>
      <c r="Q1146" s="2"/>
      <c r="R1146" s="2"/>
      <c r="S1146" s="2"/>
      <c r="T1146" s="2"/>
      <c r="U1146" s="2"/>
      <c r="V1146" s="2"/>
      <c r="W1146" s="2"/>
      <c r="X1146" s="2"/>
      <c r="Y1146" s="2"/>
      <c r="Z1146" s="2"/>
      <c r="AA1146" s="2"/>
      <c r="AB1146" s="2"/>
      <c r="AC1146" s="2"/>
      <c r="AD1146" s="2"/>
      <c r="AE1146" s="2"/>
      <c r="AF1146" s="2"/>
      <c r="AG1146" s="2"/>
      <c r="AH1146" s="2"/>
      <c r="AI1146" s="2"/>
      <c r="AJ1146" s="2"/>
      <c r="AK1146" s="2"/>
    </row>
    <row r="1147" spans="2:37">
      <c r="M1147" s="2"/>
      <c r="N1147" s="2"/>
      <c r="O1147" s="2"/>
      <c r="P1147" s="2"/>
      <c r="Q1147" s="2"/>
      <c r="R1147" s="2"/>
      <c r="S1147" s="2"/>
      <c r="T1147" s="2"/>
      <c r="U1147" s="2"/>
      <c r="V1147" s="2"/>
      <c r="W1147" s="2"/>
      <c r="X1147" s="2"/>
      <c r="Y1147" s="2"/>
      <c r="Z1147" s="2"/>
      <c r="AA1147" s="2"/>
      <c r="AB1147" s="2"/>
      <c r="AC1147" s="2"/>
      <c r="AD1147" s="2"/>
      <c r="AE1147" s="2"/>
      <c r="AF1147" s="2"/>
      <c r="AG1147" s="2"/>
      <c r="AH1147" s="2"/>
      <c r="AI1147" s="2"/>
      <c r="AJ1147" s="2"/>
      <c r="AK1147" s="2"/>
    </row>
    <row r="1148" spans="2:37">
      <c r="M1148" s="2"/>
      <c r="N1148" s="2"/>
      <c r="O1148" s="2"/>
      <c r="P1148" s="2"/>
      <c r="Q1148" s="2"/>
      <c r="R1148" s="2"/>
      <c r="S1148" s="2"/>
      <c r="T1148" s="2"/>
      <c r="U1148" s="2"/>
      <c r="V1148" s="2"/>
      <c r="W1148" s="2"/>
      <c r="X1148" s="2"/>
      <c r="Y1148" s="2"/>
      <c r="Z1148" s="2"/>
      <c r="AA1148" s="2"/>
      <c r="AB1148" s="2"/>
      <c r="AC1148" s="2"/>
      <c r="AD1148" s="2"/>
      <c r="AE1148" s="2"/>
      <c r="AF1148" s="2"/>
      <c r="AG1148" s="2"/>
      <c r="AH1148" s="2"/>
      <c r="AI1148" s="2"/>
      <c r="AJ1148" s="2"/>
      <c r="AK1148" s="2"/>
    </row>
    <row r="1149" spans="2:37">
      <c r="M1149" s="2"/>
      <c r="N1149" s="2"/>
      <c r="O1149" s="2"/>
      <c r="P1149" s="2"/>
      <c r="Q1149" s="2"/>
      <c r="R1149" s="2"/>
      <c r="S1149" s="2"/>
      <c r="T1149" s="2"/>
      <c r="U1149" s="2"/>
      <c r="V1149" s="2"/>
      <c r="W1149" s="2"/>
      <c r="X1149" s="2"/>
      <c r="Y1149" s="2"/>
      <c r="Z1149" s="2"/>
      <c r="AA1149" s="2"/>
      <c r="AB1149" s="2"/>
      <c r="AC1149" s="2"/>
      <c r="AD1149" s="2"/>
      <c r="AE1149" s="2"/>
      <c r="AF1149" s="2"/>
      <c r="AG1149" s="2"/>
      <c r="AH1149" s="2"/>
      <c r="AI1149" s="2"/>
      <c r="AJ1149" s="2"/>
      <c r="AK1149" s="2"/>
    </row>
    <row r="1150" spans="2:37">
      <c r="M1150" s="2"/>
      <c r="N1150" s="2"/>
      <c r="O1150" s="2"/>
      <c r="P1150" s="2"/>
      <c r="Q1150" s="2"/>
      <c r="R1150" s="2"/>
      <c r="S1150" s="2"/>
      <c r="T1150" s="2"/>
      <c r="U1150" s="2"/>
      <c r="V1150" s="2"/>
      <c r="W1150" s="2"/>
      <c r="X1150" s="2"/>
      <c r="Y1150" s="2"/>
      <c r="Z1150" s="2"/>
      <c r="AA1150" s="2"/>
      <c r="AB1150" s="2"/>
      <c r="AC1150" s="2"/>
      <c r="AD1150" s="2"/>
      <c r="AE1150" s="2"/>
      <c r="AF1150" s="2"/>
      <c r="AG1150" s="2"/>
      <c r="AH1150" s="2"/>
      <c r="AI1150" s="2"/>
      <c r="AJ1150" s="2"/>
      <c r="AK1150" s="2"/>
    </row>
    <row r="1151" spans="2:37" ht="18">
      <c r="B1151" s="316" t="s">
        <v>67</v>
      </c>
      <c r="C1151" s="143"/>
      <c r="D1151" s="142"/>
      <c r="E1151" s="143"/>
      <c r="F1151" s="144"/>
      <c r="G1151" s="144"/>
      <c r="H1151" s="144"/>
      <c r="I1151" s="143"/>
      <c r="J1151" s="143"/>
      <c r="K1151" s="143"/>
      <c r="L1151" s="143"/>
      <c r="M1151" s="2"/>
      <c r="N1151" s="2"/>
      <c r="O1151" s="2"/>
      <c r="P1151" s="2"/>
      <c r="W1151" s="2"/>
      <c r="AD1151" s="2"/>
      <c r="AE1151" s="2"/>
      <c r="AF1151" s="2"/>
      <c r="AG1151" s="2"/>
      <c r="AH1151" s="2"/>
      <c r="AI1151" s="2"/>
      <c r="AJ1151" s="2"/>
      <c r="AK1151" s="2"/>
    </row>
    <row r="1152" spans="2:37" ht="15">
      <c r="B1152" s="399"/>
      <c r="C1152" s="386" t="s">
        <v>1</v>
      </c>
      <c r="D1152" s="317"/>
      <c r="E1152" s="4"/>
      <c r="F1152" s="317"/>
      <c r="G1152" s="59"/>
      <c r="H1152" s="4"/>
      <c r="I1152" s="317"/>
      <c r="J1152" s="59"/>
      <c r="K1152" s="2"/>
      <c r="L1152" s="2"/>
      <c r="M1152" s="2"/>
      <c r="N1152" s="2"/>
      <c r="O1152" s="2"/>
      <c r="P1152" s="2"/>
      <c r="W1152" s="2"/>
      <c r="AD1152" s="2"/>
      <c r="AE1152" s="2"/>
      <c r="AF1152" s="2"/>
      <c r="AG1152" s="2"/>
      <c r="AH1152" s="2"/>
      <c r="AI1152" s="2"/>
      <c r="AJ1152" s="2"/>
      <c r="AK1152" s="2"/>
    </row>
    <row r="1153" spans="2:37">
      <c r="M1153" s="2"/>
      <c r="N1153" s="2"/>
      <c r="O1153" s="2"/>
      <c r="P1153" s="2"/>
      <c r="W1153" s="2"/>
      <c r="AD1153" s="2"/>
      <c r="AE1153" s="2"/>
      <c r="AF1153" s="2"/>
      <c r="AG1153" s="2"/>
      <c r="AH1153" s="2"/>
      <c r="AI1153" s="2"/>
      <c r="AJ1153" s="2"/>
      <c r="AK1153" s="2"/>
    </row>
    <row r="1154" spans="2:37">
      <c r="B1154" s="2"/>
      <c r="C1154" s="43"/>
      <c r="D1154" s="381" t="str">
        <f>D4</f>
        <v>2023-2024</v>
      </c>
      <c r="E1154" s="43"/>
      <c r="F1154" s="740" t="str">
        <f>F4</f>
        <v>2024-2025</v>
      </c>
      <c r="G1154" s="741"/>
      <c r="H1154" s="319" t="s">
        <v>2</v>
      </c>
      <c r="J1154" s="740" t="str">
        <f>I4</f>
        <v>2025-2026</v>
      </c>
      <c r="K1154" s="741"/>
      <c r="L1154" s="320" t="s">
        <v>2</v>
      </c>
      <c r="M1154" s="2"/>
      <c r="N1154" s="2"/>
      <c r="O1154" s="2"/>
      <c r="P1154" s="2"/>
      <c r="W1154" s="2"/>
      <c r="X1154" s="2"/>
      <c r="Y1154" s="2"/>
      <c r="Z1154" s="2"/>
      <c r="AA1154" s="2"/>
      <c r="AB1154" s="2"/>
      <c r="AC1154" s="2"/>
      <c r="AD1154" s="2"/>
      <c r="AE1154" s="2"/>
      <c r="AF1154" s="2"/>
      <c r="AG1154" s="2"/>
      <c r="AH1154" s="2"/>
      <c r="AI1154" s="2"/>
      <c r="AJ1154" s="2"/>
      <c r="AK1154" s="2"/>
    </row>
    <row r="1155" spans="2:37">
      <c r="B1155" s="2"/>
      <c r="C1155" s="220" t="s">
        <v>4</v>
      </c>
      <c r="D1155" s="323" t="s">
        <v>5</v>
      </c>
      <c r="E1155" s="43"/>
      <c r="F1155" s="736" t="s">
        <v>5</v>
      </c>
      <c r="G1155" s="737"/>
      <c r="H1155" s="322" t="s">
        <v>144</v>
      </c>
      <c r="J1155" s="736" t="s">
        <v>6</v>
      </c>
      <c r="K1155" s="737"/>
      <c r="L1155" s="388" t="s">
        <v>144</v>
      </c>
      <c r="M1155" s="2"/>
      <c r="N1155" s="2"/>
      <c r="O1155" s="2"/>
      <c r="P1155" s="2"/>
      <c r="Q1155" s="2"/>
      <c r="R1155" s="2"/>
      <c r="S1155" s="2"/>
      <c r="T1155" s="2"/>
      <c r="U1155" s="2"/>
      <c r="V1155" s="2"/>
      <c r="W1155" s="2"/>
      <c r="X1155" s="2"/>
      <c r="Y1155" s="2"/>
      <c r="Z1155" s="2"/>
      <c r="AA1155" s="2"/>
      <c r="AB1155" s="2"/>
      <c r="AC1155" s="2"/>
      <c r="AD1155" s="2"/>
      <c r="AE1155" s="2"/>
      <c r="AF1155" s="2"/>
      <c r="AG1155" s="2"/>
      <c r="AH1155" s="2"/>
      <c r="AI1155" s="2"/>
      <c r="AJ1155" s="2"/>
      <c r="AK1155" s="2"/>
    </row>
    <row r="1156" spans="2:37">
      <c r="B1156" s="45" t="s">
        <v>34</v>
      </c>
      <c r="C1156" s="45"/>
      <c r="D1156" s="400">
        <f>SUM([1]C06!$C$265:$C$283)</f>
        <v>533818</v>
      </c>
      <c r="E1156" s="327"/>
      <c r="F1156" s="738">
        <f>SUM([1]C06!$D$265:$D$283)</f>
        <v>441394</v>
      </c>
      <c r="G1156" s="739"/>
      <c r="H1156" s="401">
        <f>IF(D1156=0,0,((F1156-D1156)/D1156))</f>
        <v>-0.17</v>
      </c>
      <c r="I1156" s="139"/>
      <c r="J1156" s="738">
        <f>SUM([1]C06!$E$265:$E$283)</f>
        <v>296101</v>
      </c>
      <c r="K1156" s="739"/>
      <c r="L1156" s="401">
        <f>IF(F1156=0,0,((J1156-F1156)/F1156))</f>
        <v>-0.33</v>
      </c>
      <c r="M1156" s="2"/>
      <c r="N1156" s="2"/>
      <c r="O1156" s="2"/>
      <c r="P1156" s="2"/>
      <c r="W1156" s="2"/>
      <c r="X1156" s="2"/>
      <c r="Y1156" s="2"/>
      <c r="Z1156" s="2"/>
      <c r="AA1156" s="2"/>
      <c r="AB1156" s="2"/>
      <c r="AC1156" s="2"/>
      <c r="AD1156" s="2"/>
      <c r="AE1156" s="2"/>
      <c r="AF1156" s="2"/>
      <c r="AG1156" s="2"/>
      <c r="AH1156" s="2"/>
      <c r="AI1156" s="2"/>
      <c r="AJ1156" s="2"/>
      <c r="AK1156" s="2"/>
    </row>
    <row r="1157" spans="2:37">
      <c r="B1157" s="324" t="s">
        <v>36</v>
      </c>
      <c r="C1157" s="325">
        <v>7</v>
      </c>
      <c r="D1157" s="390">
        <v>0</v>
      </c>
      <c r="E1157" s="327"/>
      <c r="F1157" s="731">
        <v>0</v>
      </c>
      <c r="G1157" s="732"/>
      <c r="H1157" s="402">
        <f>IF(D1157=0,0,((F1157-D1157)/D1157))</f>
        <v>0</v>
      </c>
      <c r="I1157" s="139"/>
      <c r="J1157" s="731">
        <v>0</v>
      </c>
      <c r="K1157" s="732"/>
      <c r="L1157" s="402">
        <f>IF(F1157=0,0,((J1157-F1157)/F1157))</f>
        <v>0</v>
      </c>
      <c r="M1157" s="2"/>
      <c r="N1157" s="2"/>
      <c r="O1157" s="2"/>
      <c r="P1157" s="2"/>
      <c r="W1157" s="2"/>
      <c r="X1157" s="2"/>
      <c r="Y1157" s="2"/>
      <c r="Z1157" s="2"/>
      <c r="AA1157" s="2"/>
      <c r="AB1157" s="2"/>
      <c r="AC1157" s="2"/>
      <c r="AD1157" s="2"/>
      <c r="AE1157" s="2"/>
      <c r="AF1157" s="2"/>
      <c r="AG1157" s="2"/>
      <c r="AH1157" s="2"/>
      <c r="AI1157" s="2"/>
      <c r="AJ1157" s="2"/>
      <c r="AK1157" s="2"/>
    </row>
    <row r="1158" spans="2:37">
      <c r="B1158" s="44" t="s">
        <v>35</v>
      </c>
      <c r="C1158" s="44"/>
      <c r="D1158" s="329">
        <f>SUM([1]C08!$C$270:$C$287)</f>
        <v>31994</v>
      </c>
      <c r="E1158" s="327"/>
      <c r="F1158" s="671">
        <f>SUM([1]C08!$D$270:$D$287)</f>
        <v>74530</v>
      </c>
      <c r="G1158" s="653"/>
      <c r="H1158" s="401">
        <f>IF(D1158=0,0,((F1158-D1158)/D1158))</f>
        <v>1.33</v>
      </c>
      <c r="I1158" s="139"/>
      <c r="J1158" s="671">
        <f>SUM([1]C08!$E$270:$E$287)</f>
        <v>84163</v>
      </c>
      <c r="K1158" s="653"/>
      <c r="L1158" s="401">
        <f>IF(F1158=0,0,((J1158-F1158)/F1158))</f>
        <v>0.13</v>
      </c>
      <c r="M1158" s="2"/>
      <c r="N1158" s="2"/>
      <c r="O1158" s="2"/>
      <c r="P1158" s="2"/>
      <c r="Q1158" s="2"/>
      <c r="R1158" s="2"/>
      <c r="S1158" s="2"/>
      <c r="T1158" s="2"/>
      <c r="U1158" s="2"/>
      <c r="V1158" s="2"/>
      <c r="W1158" s="2"/>
      <c r="X1158" s="2"/>
      <c r="Y1158" s="2"/>
      <c r="Z1158" s="2"/>
      <c r="AA1158" s="2"/>
      <c r="AB1158" s="2"/>
      <c r="AC1158" s="2"/>
      <c r="AD1158" s="2"/>
      <c r="AE1158" s="2"/>
      <c r="AF1158" s="2"/>
      <c r="AG1158" s="2"/>
      <c r="AH1158" s="2"/>
      <c r="AI1158" s="2"/>
      <c r="AJ1158" s="2"/>
      <c r="AK1158" s="2"/>
    </row>
    <row r="1159" spans="2:37">
      <c r="B1159" s="324" t="s">
        <v>140</v>
      </c>
      <c r="C1159" s="324"/>
      <c r="D1159" s="339">
        <v>0</v>
      </c>
      <c r="E1159" s="327"/>
      <c r="F1159" s="654">
        <v>0</v>
      </c>
      <c r="G1159" s="655"/>
      <c r="H1159" s="403">
        <f>IF(D1159=0,0,((F1159-D1159)/D1159))</f>
        <v>0</v>
      </c>
      <c r="J1159" s="654">
        <v>0</v>
      </c>
      <c r="K1159" s="655"/>
      <c r="L1159" s="403">
        <f>IF(F1159=0,0,((J1159-F1159)/F1159))</f>
        <v>0</v>
      </c>
      <c r="M1159" s="2"/>
      <c r="N1159" s="2"/>
      <c r="O1159" s="2"/>
      <c r="P1159" s="2"/>
      <c r="Q1159" s="2"/>
      <c r="R1159" s="2"/>
      <c r="S1159" s="2"/>
      <c r="T1159" s="2"/>
      <c r="U1159" s="2"/>
      <c r="V1159" s="2"/>
      <c r="W1159" s="2"/>
      <c r="X1159" s="2"/>
      <c r="Y1159" s="2"/>
      <c r="Z1159" s="2"/>
      <c r="AA1159" s="2"/>
      <c r="AB1159" s="2"/>
      <c r="AC1159" s="2"/>
      <c r="AD1159" s="2"/>
      <c r="AE1159" s="2"/>
      <c r="AF1159" s="2"/>
      <c r="AG1159" s="2"/>
      <c r="AH1159" s="2"/>
      <c r="AI1159" s="2"/>
      <c r="AJ1159" s="2"/>
      <c r="AK1159" s="2"/>
    </row>
    <row r="1160" spans="2:37">
      <c r="B1160" s="1" t="s">
        <v>277</v>
      </c>
      <c r="C1160" s="333"/>
      <c r="D1160" s="336">
        <v>0</v>
      </c>
      <c r="E1160" s="327"/>
      <c r="F1160" s="652">
        <v>0</v>
      </c>
      <c r="G1160" s="653"/>
      <c r="H1160" s="404" t="s">
        <v>139</v>
      </c>
      <c r="J1160" s="733">
        <v>0</v>
      </c>
      <c r="K1160" s="673"/>
      <c r="L1160" s="404" t="s">
        <v>139</v>
      </c>
      <c r="M1160" s="2"/>
      <c r="N1160" s="2"/>
      <c r="O1160" s="2"/>
      <c r="P1160" s="2"/>
      <c r="Q1160" s="2"/>
      <c r="R1160" s="2"/>
      <c r="S1160" s="2"/>
      <c r="T1160" s="2"/>
      <c r="U1160" s="2"/>
      <c r="V1160" s="2"/>
      <c r="W1160" s="2"/>
      <c r="X1160" s="2"/>
      <c r="Y1160" s="2"/>
      <c r="Z1160" s="2"/>
      <c r="AA1160" s="2"/>
      <c r="AB1160" s="2"/>
      <c r="AC1160" s="2"/>
      <c r="AD1160" s="2"/>
      <c r="AE1160" s="2"/>
      <c r="AF1160" s="2"/>
      <c r="AG1160" s="2"/>
      <c r="AH1160" s="2"/>
      <c r="AI1160" s="2"/>
      <c r="AJ1160" s="2"/>
      <c r="AK1160" s="2"/>
    </row>
    <row r="1161" spans="2:37">
      <c r="B1161" s="324" t="s">
        <v>39</v>
      </c>
      <c r="C1161" s="335">
        <v>14</v>
      </c>
      <c r="D1161" s="339">
        <v>0</v>
      </c>
      <c r="E1161" s="327"/>
      <c r="F1161" s="654">
        <v>0</v>
      </c>
      <c r="G1161" s="655"/>
      <c r="H1161" s="405" t="s">
        <v>139</v>
      </c>
      <c r="J1161" s="734">
        <v>0</v>
      </c>
      <c r="K1161" s="675"/>
      <c r="L1161" s="405" t="s">
        <v>139</v>
      </c>
      <c r="M1161" s="2"/>
      <c r="N1161" s="2"/>
      <c r="O1161" s="2"/>
      <c r="P1161" s="2"/>
      <c r="Q1161" s="2"/>
      <c r="R1161" s="2"/>
      <c r="S1161" s="2"/>
      <c r="T1161" s="2"/>
      <c r="U1161" s="2"/>
      <c r="V1161" s="2"/>
      <c r="W1161" s="2"/>
      <c r="X1161" s="2"/>
      <c r="Y1161" s="2"/>
      <c r="Z1161" s="2"/>
      <c r="AA1161" s="2"/>
      <c r="AB1161" s="2"/>
      <c r="AC1161" s="2"/>
      <c r="AD1161" s="2"/>
      <c r="AE1161" s="2"/>
      <c r="AF1161" s="2"/>
      <c r="AG1161" s="2"/>
      <c r="AH1161" s="2"/>
      <c r="AI1161" s="2"/>
      <c r="AJ1161" s="2"/>
      <c r="AK1161" s="2"/>
    </row>
    <row r="1162" spans="2:37">
      <c r="B1162" s="1" t="s">
        <v>40</v>
      </c>
      <c r="C1162" s="1"/>
      <c r="D1162" s="336">
        <v>0</v>
      </c>
      <c r="E1162" s="327"/>
      <c r="F1162" s="652">
        <v>0</v>
      </c>
      <c r="G1162" s="653"/>
      <c r="H1162" s="404" t="s">
        <v>139</v>
      </c>
      <c r="J1162" s="652">
        <v>0</v>
      </c>
      <c r="K1162" s="653"/>
      <c r="L1162" s="404" t="s">
        <v>139</v>
      </c>
      <c r="M1162" s="2"/>
      <c r="N1162" s="2"/>
      <c r="O1162" s="2"/>
      <c r="P1162" s="2"/>
      <c r="Q1162" s="2"/>
      <c r="R1162" s="2"/>
      <c r="S1162" s="2"/>
      <c r="T1162" s="2"/>
      <c r="U1162" s="2"/>
      <c r="V1162" s="2"/>
      <c r="W1162" s="2"/>
      <c r="X1162" s="2"/>
      <c r="Y1162" s="2"/>
      <c r="Z1162" s="2"/>
      <c r="AA1162" s="2"/>
      <c r="AB1162" s="2"/>
      <c r="AC1162" s="2"/>
      <c r="AD1162" s="2"/>
      <c r="AE1162" s="2"/>
      <c r="AF1162" s="2"/>
      <c r="AG1162" s="2"/>
      <c r="AH1162" s="2"/>
      <c r="AI1162" s="2"/>
      <c r="AJ1162" s="2"/>
      <c r="AK1162" s="2"/>
    </row>
    <row r="1163" spans="2:37">
      <c r="B1163" s="324" t="s">
        <v>41</v>
      </c>
      <c r="C1163" s="324"/>
      <c r="D1163" s="339">
        <v>0</v>
      </c>
      <c r="E1163" s="327"/>
      <c r="F1163" s="654">
        <v>0</v>
      </c>
      <c r="G1163" s="655"/>
      <c r="H1163" s="405" t="s">
        <v>139</v>
      </c>
      <c r="J1163" s="654">
        <v>0</v>
      </c>
      <c r="K1163" s="655"/>
      <c r="L1163" s="405" t="s">
        <v>139</v>
      </c>
      <c r="M1163" s="2"/>
      <c r="N1163" s="2"/>
      <c r="O1163" s="2"/>
      <c r="P1163" s="2"/>
      <c r="Q1163" s="2"/>
      <c r="R1163" s="2"/>
      <c r="S1163" s="2"/>
      <c r="T1163" s="2"/>
      <c r="U1163" s="2"/>
      <c r="V1163" s="2"/>
      <c r="W1163" s="2"/>
      <c r="X1163" s="2"/>
      <c r="Y1163" s="2"/>
      <c r="Z1163" s="2"/>
      <c r="AA1163" s="2"/>
      <c r="AB1163" s="2"/>
      <c r="AC1163" s="2"/>
      <c r="AD1163" s="2"/>
      <c r="AE1163" s="2"/>
      <c r="AF1163" s="2"/>
      <c r="AG1163" s="2"/>
      <c r="AH1163" s="2"/>
      <c r="AI1163" s="2"/>
      <c r="AJ1163" s="2"/>
      <c r="AK1163" s="2"/>
    </row>
    <row r="1164" spans="2:37">
      <c r="B1164" s="1" t="s">
        <v>70</v>
      </c>
      <c r="C1164" s="1">
        <v>18</v>
      </c>
      <c r="D1164" s="336">
        <v>0</v>
      </c>
      <c r="E1164" s="327"/>
      <c r="F1164" s="652">
        <v>0</v>
      </c>
      <c r="G1164" s="653"/>
      <c r="H1164" s="404" t="s">
        <v>139</v>
      </c>
      <c r="J1164" s="652">
        <v>0</v>
      </c>
      <c r="K1164" s="653"/>
      <c r="L1164" s="404" t="s">
        <v>139</v>
      </c>
      <c r="M1164" s="2"/>
      <c r="N1164" s="2"/>
      <c r="O1164" s="2"/>
      <c r="P1164" s="2"/>
      <c r="Q1164" s="2"/>
      <c r="R1164" s="2"/>
      <c r="S1164" s="2"/>
      <c r="T1164" s="2"/>
      <c r="U1164" s="2"/>
      <c r="V1164" s="2"/>
      <c r="W1164" s="2"/>
      <c r="X1164" s="2"/>
      <c r="Y1164" s="2"/>
      <c r="Z1164" s="2"/>
      <c r="AA1164" s="2"/>
      <c r="AB1164" s="2"/>
      <c r="AC1164" s="2"/>
      <c r="AD1164" s="2"/>
      <c r="AE1164" s="2"/>
      <c r="AF1164" s="2"/>
      <c r="AG1164" s="2"/>
      <c r="AH1164" s="2"/>
      <c r="AI1164" s="2"/>
      <c r="AJ1164" s="2"/>
      <c r="AK1164" s="2"/>
    </row>
    <row r="1165" spans="2:37">
      <c r="B1165" s="324" t="s">
        <v>43</v>
      </c>
      <c r="C1165" s="324"/>
      <c r="D1165" s="331">
        <f>[1]C019!$C$32</f>
        <v>0</v>
      </c>
      <c r="E1165" s="327"/>
      <c r="F1165" s="656">
        <f>[1]C019!$D$32</f>
        <v>0</v>
      </c>
      <c r="G1165" s="655"/>
      <c r="H1165" s="403">
        <f>IF(D1165=0,0,((F1165-D1165)/D1165))</f>
        <v>0</v>
      </c>
      <c r="J1165" s="654">
        <f>[1]C019!$E$32</f>
        <v>0</v>
      </c>
      <c r="K1165" s="655"/>
      <c r="L1165" s="403">
        <f>IF(F1165=0,0,((J1165-F1165)/F1165))</f>
        <v>0</v>
      </c>
      <c r="M1165" s="2"/>
      <c r="N1165" s="2"/>
      <c r="O1165" s="2"/>
      <c r="P1165" s="2"/>
      <c r="Q1165" s="2"/>
      <c r="R1165" s="2"/>
      <c r="S1165" s="2"/>
      <c r="T1165" s="2"/>
      <c r="U1165" s="2"/>
      <c r="V1165" s="2"/>
      <c r="W1165" s="2"/>
      <c r="X1165" s="2"/>
      <c r="Y1165" s="406"/>
      <c r="Z1165" s="2"/>
      <c r="AA1165" s="2"/>
      <c r="AB1165" s="2"/>
      <c r="AC1165" s="2"/>
      <c r="AD1165" s="2"/>
      <c r="AE1165" s="2"/>
      <c r="AF1165" s="2"/>
      <c r="AG1165" s="2"/>
      <c r="AH1165" s="2"/>
      <c r="AI1165" s="2"/>
      <c r="AJ1165" s="2"/>
      <c r="AK1165" s="2"/>
    </row>
    <row r="1166" spans="2:37">
      <c r="B1166" s="1" t="s">
        <v>44</v>
      </c>
      <c r="C1166" s="1">
        <v>22</v>
      </c>
      <c r="D1166" s="336">
        <v>0</v>
      </c>
      <c r="E1166" s="327"/>
      <c r="F1166" s="652">
        <v>0</v>
      </c>
      <c r="G1166" s="653"/>
      <c r="H1166" s="401">
        <f>IF(D1166=0,0,((F1166-D1166)/D1166))</f>
        <v>0</v>
      </c>
      <c r="J1166" s="652">
        <v>0</v>
      </c>
      <c r="K1166" s="653"/>
      <c r="L1166" s="401">
        <f>IF(F1166=0,0,((J1166-F1166)/F1166))</f>
        <v>0</v>
      </c>
      <c r="M1166" s="2"/>
      <c r="N1166" s="2"/>
      <c r="O1166" s="2"/>
      <c r="P1166" s="2"/>
      <c r="Q1166" s="2"/>
      <c r="R1166" s="2"/>
      <c r="S1166" s="2"/>
      <c r="T1166" s="2"/>
      <c r="U1166" s="2"/>
      <c r="V1166" s="2"/>
      <c r="W1166" s="2"/>
      <c r="X1166" s="2"/>
      <c r="Y1166" s="406"/>
      <c r="Z1166" s="2"/>
      <c r="AA1166" s="2"/>
      <c r="AB1166" s="2"/>
      <c r="AC1166" s="2"/>
      <c r="AD1166" s="2"/>
      <c r="AE1166" s="2"/>
      <c r="AF1166" s="2"/>
      <c r="AG1166" s="2"/>
      <c r="AH1166" s="2"/>
      <c r="AI1166" s="2"/>
      <c r="AJ1166" s="2"/>
      <c r="AK1166" s="2"/>
    </row>
    <row r="1167" spans="2:37">
      <c r="B1167" s="324" t="s">
        <v>45</v>
      </c>
      <c r="C1167" s="324">
        <v>24</v>
      </c>
      <c r="D1167" s="339">
        <v>0</v>
      </c>
      <c r="E1167" s="327"/>
      <c r="F1167" s="654">
        <v>0</v>
      </c>
      <c r="G1167" s="655"/>
      <c r="H1167" s="403">
        <f>IF(D1167=0,0,((F1167-D1167)/D1167))</f>
        <v>0</v>
      </c>
      <c r="J1167" s="654">
        <v>0</v>
      </c>
      <c r="K1167" s="655"/>
      <c r="L1167" s="403">
        <f>IF(F1167=0,0,((J1167-F1167)/F1167))</f>
        <v>0</v>
      </c>
      <c r="M1167" s="2"/>
      <c r="N1167" s="2"/>
      <c r="O1167" s="2"/>
      <c r="P1167" s="2"/>
      <c r="Q1167" s="2"/>
      <c r="R1167" s="2"/>
      <c r="S1167" s="2"/>
      <c r="T1167" s="2"/>
      <c r="U1167" s="2"/>
      <c r="V1167" s="2"/>
      <c r="W1167" s="2"/>
      <c r="X1167" s="2"/>
      <c r="Y1167" s="2"/>
      <c r="Z1167" s="2"/>
      <c r="AA1167" s="2"/>
      <c r="AB1167" s="2"/>
      <c r="AC1167" s="2"/>
      <c r="AD1167" s="2"/>
      <c r="AE1167" s="2"/>
      <c r="AF1167" s="2"/>
      <c r="AG1167" s="2"/>
      <c r="AH1167" s="2"/>
      <c r="AI1167" s="2"/>
      <c r="AJ1167" s="2"/>
      <c r="AK1167" s="2"/>
    </row>
    <row r="1168" spans="2:37">
      <c r="B1168" s="1" t="s">
        <v>46</v>
      </c>
      <c r="C1168" s="337">
        <v>26</v>
      </c>
      <c r="D1168" s="336">
        <v>0</v>
      </c>
      <c r="E1168" s="327"/>
      <c r="F1168" s="652">
        <v>0</v>
      </c>
      <c r="G1168" s="653"/>
      <c r="H1168" s="404" t="s">
        <v>139</v>
      </c>
      <c r="J1168" s="652">
        <v>0</v>
      </c>
      <c r="K1168" s="653"/>
      <c r="L1168" s="404" t="s">
        <v>139</v>
      </c>
      <c r="M1168" s="2"/>
      <c r="N1168" s="2"/>
      <c r="U1168" s="2"/>
      <c r="V1168" s="2"/>
      <c r="W1168" s="2"/>
      <c r="X1168" s="2"/>
      <c r="Y1168" s="2"/>
      <c r="Z1168" s="2"/>
      <c r="AA1168" s="2"/>
      <c r="AB1168" s="2"/>
      <c r="AC1168" s="2"/>
      <c r="AD1168" s="2"/>
      <c r="AE1168" s="2"/>
      <c r="AF1168" s="2"/>
      <c r="AG1168" s="2"/>
      <c r="AH1168" s="2"/>
      <c r="AI1168" s="2"/>
      <c r="AJ1168" s="2"/>
      <c r="AK1168" s="2"/>
    </row>
    <row r="1169" spans="2:37">
      <c r="B1169" s="324" t="s">
        <v>47</v>
      </c>
      <c r="C1169" s="338">
        <v>28</v>
      </c>
      <c r="D1169" s="339">
        <v>0</v>
      </c>
      <c r="E1169" s="327"/>
      <c r="F1169" s="654">
        <v>0</v>
      </c>
      <c r="G1169" s="655"/>
      <c r="H1169" s="405" t="s">
        <v>139</v>
      </c>
      <c r="J1169" s="654">
        <v>0</v>
      </c>
      <c r="K1169" s="655"/>
      <c r="L1169" s="405" t="s">
        <v>139</v>
      </c>
      <c r="M1169" s="2"/>
      <c r="N1169" s="2"/>
      <c r="U1169" s="2"/>
      <c r="V1169" s="2"/>
      <c r="W1169" s="2"/>
      <c r="X1169" s="2"/>
      <c r="Y1169" s="2"/>
      <c r="Z1169" s="2"/>
      <c r="AA1169" s="2"/>
      <c r="AB1169" s="2"/>
      <c r="AC1169" s="2"/>
      <c r="AD1169" s="2"/>
      <c r="AE1169" s="2"/>
      <c r="AF1169" s="2"/>
      <c r="AG1169" s="2"/>
      <c r="AH1169" s="2"/>
      <c r="AI1169" s="2"/>
      <c r="AJ1169" s="2"/>
      <c r="AK1169" s="2"/>
    </row>
    <row r="1170" spans="2:37">
      <c r="B1170" s="1" t="s">
        <v>48</v>
      </c>
      <c r="C1170" s="337">
        <v>29</v>
      </c>
      <c r="D1170" s="336">
        <v>0</v>
      </c>
      <c r="E1170" s="327"/>
      <c r="F1170" s="652">
        <v>0</v>
      </c>
      <c r="G1170" s="653"/>
      <c r="H1170" s="404" t="s">
        <v>139</v>
      </c>
      <c r="J1170" s="652">
        <v>0</v>
      </c>
      <c r="K1170" s="653"/>
      <c r="L1170" s="404" t="s">
        <v>139</v>
      </c>
      <c r="M1170" s="2"/>
      <c r="N1170" s="2"/>
      <c r="U1170" s="2"/>
      <c r="V1170" s="2"/>
      <c r="W1170" s="2"/>
      <c r="X1170" s="2"/>
      <c r="Y1170" s="2"/>
      <c r="Z1170" s="2"/>
      <c r="AA1170" s="2"/>
      <c r="AB1170" s="2"/>
      <c r="AC1170" s="2"/>
      <c r="AD1170" s="2"/>
      <c r="AE1170" s="2"/>
      <c r="AF1170" s="2"/>
      <c r="AG1170" s="2"/>
      <c r="AH1170" s="2"/>
      <c r="AI1170" s="2"/>
      <c r="AJ1170" s="2"/>
      <c r="AK1170" s="2"/>
    </row>
    <row r="1171" spans="2:37">
      <c r="B1171" s="324" t="s">
        <v>37</v>
      </c>
      <c r="C1171" s="338"/>
      <c r="D1171" s="339">
        <v>0</v>
      </c>
      <c r="E1171" s="327"/>
      <c r="F1171" s="654">
        <v>0</v>
      </c>
      <c r="G1171" s="655"/>
      <c r="H1171" s="405" t="s">
        <v>139</v>
      </c>
      <c r="J1171" s="654">
        <v>0</v>
      </c>
      <c r="K1171" s="655"/>
      <c r="L1171" s="405" t="s">
        <v>139</v>
      </c>
      <c r="M1171" s="2"/>
      <c r="N1171" s="2"/>
      <c r="U1171" s="2"/>
      <c r="V1171" s="2"/>
      <c r="W1171" s="2"/>
      <c r="X1171" s="2"/>
      <c r="Y1171" s="2"/>
      <c r="Z1171" s="2"/>
      <c r="AA1171" s="2"/>
      <c r="AB1171" s="2"/>
      <c r="AC1171" s="2"/>
      <c r="AD1171" s="2"/>
      <c r="AE1171" s="2"/>
      <c r="AF1171" s="2"/>
      <c r="AG1171" s="2"/>
      <c r="AH1171" s="2"/>
      <c r="AI1171" s="2"/>
      <c r="AJ1171" s="2"/>
      <c r="AK1171" s="2"/>
    </row>
    <row r="1172" spans="2:37">
      <c r="B1172" s="1" t="s">
        <v>49</v>
      </c>
      <c r="C1172" s="337"/>
      <c r="D1172" s="334">
        <f>[1]C033!$C$30</f>
        <v>0</v>
      </c>
      <c r="E1172" s="327"/>
      <c r="F1172" s="671">
        <f>[1]C033!$D$30</f>
        <v>0</v>
      </c>
      <c r="G1172" s="653"/>
      <c r="H1172" s="401">
        <f>IF(D1172=0,0,((F1172-D1172)/D1172))</f>
        <v>0</v>
      </c>
      <c r="J1172" s="671">
        <f>[1]C033!$E$30</f>
        <v>0</v>
      </c>
      <c r="K1172" s="653"/>
      <c r="L1172" s="401">
        <f>IF(F1172=0,0,((J1172-F1172)/F1172))</f>
        <v>0</v>
      </c>
      <c r="M1172" s="2"/>
      <c r="N1172" s="2"/>
      <c r="U1172" s="2"/>
      <c r="V1172" s="2"/>
      <c r="W1172" s="2"/>
      <c r="X1172" s="2"/>
      <c r="Y1172" s="2"/>
      <c r="Z1172" s="2"/>
      <c r="AA1172" s="2"/>
      <c r="AB1172" s="2"/>
      <c r="AC1172" s="2"/>
      <c r="AD1172" s="2"/>
      <c r="AE1172" s="2"/>
      <c r="AF1172" s="2"/>
      <c r="AG1172" s="2"/>
      <c r="AH1172" s="2"/>
      <c r="AI1172" s="2"/>
      <c r="AJ1172" s="2"/>
      <c r="AK1172" s="2"/>
    </row>
    <row r="1173" spans="2:37">
      <c r="B1173" s="407" t="str">
        <f>B338</f>
        <v>Career and Postsecondary Ed.</v>
      </c>
      <c r="C1173" s="338">
        <v>34</v>
      </c>
      <c r="D1173" s="339">
        <v>0</v>
      </c>
      <c r="E1173" s="327"/>
      <c r="F1173" s="654">
        <v>0</v>
      </c>
      <c r="G1173" s="655"/>
      <c r="H1173" s="405" t="s">
        <v>139</v>
      </c>
      <c r="J1173" s="654">
        <v>0</v>
      </c>
      <c r="K1173" s="655"/>
      <c r="L1173" s="405" t="s">
        <v>139</v>
      </c>
      <c r="M1173" s="2"/>
      <c r="N1173" s="2"/>
      <c r="U1173" s="2"/>
      <c r="V1173" s="2"/>
      <c r="W1173" s="2"/>
      <c r="X1173" s="2"/>
      <c r="Y1173" s="2"/>
      <c r="Z1173" s="2"/>
      <c r="AA1173" s="2"/>
      <c r="AB1173" s="2"/>
      <c r="AC1173" s="2"/>
      <c r="AD1173" s="2"/>
      <c r="AE1173" s="2"/>
      <c r="AF1173" s="2"/>
      <c r="AG1173" s="2"/>
      <c r="AH1173" s="2"/>
      <c r="AI1173" s="2"/>
      <c r="AJ1173" s="2"/>
      <c r="AK1173" s="2"/>
    </row>
    <row r="1174" spans="2:37" ht="15.75">
      <c r="B1174" s="1" t="s">
        <v>178</v>
      </c>
      <c r="C1174" s="337">
        <v>35</v>
      </c>
      <c r="D1174" s="336">
        <v>0</v>
      </c>
      <c r="E1174" s="327"/>
      <c r="F1174" s="652">
        <v>0</v>
      </c>
      <c r="G1174" s="653"/>
      <c r="H1174" s="401">
        <f>IF(D1174=0,0,((F1174-D1174)/D1174))</f>
        <v>0</v>
      </c>
      <c r="J1174" s="652">
        <v>0</v>
      </c>
      <c r="K1174" s="653"/>
      <c r="L1174" s="401">
        <f>IF(F1174=0,0,((J1174-F1174)/F1174))</f>
        <v>0</v>
      </c>
      <c r="M1174" s="2"/>
      <c r="N1174" s="2"/>
      <c r="U1174" s="2"/>
      <c r="V1174" s="2"/>
      <c r="W1174" s="2"/>
      <c r="X1174" s="2"/>
      <c r="Y1174" s="2"/>
      <c r="Z1174" s="2"/>
      <c r="AA1174" s="2"/>
      <c r="AB1174" s="2"/>
      <c r="AC1174" s="2"/>
      <c r="AD1174" s="2"/>
      <c r="AE1174" s="2"/>
      <c r="AF1174" s="2"/>
      <c r="AG1174" s="2"/>
      <c r="AH1174" s="2"/>
      <c r="AI1174" s="2"/>
      <c r="AJ1174" s="2"/>
      <c r="AK1174" s="2"/>
    </row>
    <row r="1175" spans="2:37">
      <c r="B1175" s="324" t="s">
        <v>71</v>
      </c>
      <c r="C1175" s="338"/>
      <c r="D1175" s="331">
        <f>[1]C042!$C$47</f>
        <v>0</v>
      </c>
      <c r="E1175" s="327"/>
      <c r="F1175" s="656">
        <f>[1]C042!$D$47</f>
        <v>0</v>
      </c>
      <c r="G1175" s="655"/>
      <c r="H1175" s="403">
        <f>IF(D1175=0,0,((F1175-D1175)/D1175))</f>
        <v>0</v>
      </c>
      <c r="J1175" s="656">
        <f>[1]C042!$E$47</f>
        <v>0</v>
      </c>
      <c r="K1175" s="655"/>
      <c r="L1175" s="403">
        <f>IF(F1175=0,0,((J1175-F1175)/F1175))</f>
        <v>0</v>
      </c>
      <c r="M1175" s="2"/>
      <c r="N1175" s="2"/>
      <c r="O1175" s="2"/>
      <c r="P1175" s="2"/>
      <c r="Q1175" s="2"/>
      <c r="R1175" s="2"/>
      <c r="S1175" s="2"/>
      <c r="T1175" s="2"/>
      <c r="U1175" s="2"/>
      <c r="V1175" s="2"/>
      <c r="W1175" s="2"/>
      <c r="X1175" s="2"/>
      <c r="Y1175" s="2"/>
      <c r="Z1175" s="2"/>
      <c r="AA1175" s="2"/>
      <c r="AB1175" s="2"/>
      <c r="AC1175" s="2"/>
      <c r="AD1175" s="2"/>
      <c r="AE1175" s="2"/>
      <c r="AF1175" s="2"/>
      <c r="AG1175" s="2"/>
      <c r="AH1175" s="2"/>
      <c r="AI1175" s="2"/>
      <c r="AJ1175" s="2"/>
      <c r="AK1175" s="2"/>
    </row>
    <row r="1176" spans="2:37">
      <c r="B1176" s="1" t="s">
        <v>51</v>
      </c>
      <c r="C1176" s="337">
        <v>44</v>
      </c>
      <c r="D1176" s="336">
        <v>0</v>
      </c>
      <c r="E1176" s="327"/>
      <c r="F1176" s="652">
        <v>0</v>
      </c>
      <c r="G1176" s="653"/>
      <c r="H1176" s="401">
        <f>IF(D1176=0,0,((F1176-D1176)/D1176))</f>
        <v>0</v>
      </c>
      <c r="J1176" s="652">
        <v>0</v>
      </c>
      <c r="K1176" s="653"/>
      <c r="L1176" s="401">
        <f>IF(F1176=0,0,((J1176-F1176)/F1176))</f>
        <v>0</v>
      </c>
      <c r="M1176" s="2"/>
      <c r="N1176" s="2"/>
      <c r="O1176" s="2"/>
      <c r="P1176" s="2"/>
      <c r="Q1176" s="2"/>
      <c r="R1176" s="2"/>
      <c r="S1176" s="2"/>
      <c r="T1176" s="2"/>
      <c r="U1176" s="2"/>
      <c r="V1176" s="2"/>
      <c r="W1176" s="2"/>
      <c r="X1176" s="2"/>
      <c r="Y1176" s="2"/>
      <c r="Z1176" s="2"/>
      <c r="AA1176" s="2"/>
      <c r="AB1176" s="2"/>
      <c r="AC1176" s="2"/>
      <c r="AD1176" s="2"/>
      <c r="AE1176" s="2"/>
      <c r="AF1176" s="2"/>
      <c r="AG1176" s="2"/>
      <c r="AH1176" s="2"/>
      <c r="AI1176" s="2"/>
      <c r="AJ1176" s="2"/>
      <c r="AK1176" s="2"/>
    </row>
    <row r="1177" spans="2:37">
      <c r="B1177" s="324" t="s">
        <v>52</v>
      </c>
      <c r="C1177" s="338"/>
      <c r="D1177" s="331">
        <f>[1]C045!$C$30</f>
        <v>0</v>
      </c>
      <c r="E1177" s="327"/>
      <c r="F1177" s="656">
        <f>[1]C045!$D$30</f>
        <v>0</v>
      </c>
      <c r="G1177" s="655"/>
      <c r="H1177" s="403">
        <f>IF(D1177=0,0,((F1177-D1177)/D1177))</f>
        <v>0</v>
      </c>
      <c r="J1177" s="656">
        <f>[1]C045!$E$30</f>
        <v>0</v>
      </c>
      <c r="K1177" s="655"/>
      <c r="L1177" s="403">
        <f>IF(F1177=0,0,((J1177-F1177)/F1177))</f>
        <v>0</v>
      </c>
      <c r="M1177" s="2"/>
      <c r="N1177" s="2"/>
      <c r="O1177" s="2"/>
      <c r="P1177" s="2"/>
      <c r="Q1177" s="2"/>
      <c r="R1177" s="2"/>
      <c r="S1177" s="2"/>
      <c r="T1177" s="2"/>
      <c r="U1177" s="2"/>
      <c r="V1177" s="2"/>
      <c r="W1177" s="2"/>
      <c r="X1177" s="2"/>
      <c r="Y1177" s="2"/>
      <c r="Z1177" s="2"/>
      <c r="AA1177" s="2"/>
      <c r="AB1177" s="2"/>
      <c r="AC1177" s="2"/>
      <c r="AD1177" s="2"/>
      <c r="AE1177" s="2"/>
      <c r="AF1177" s="2"/>
      <c r="AG1177" s="2"/>
      <c r="AH1177" s="2"/>
      <c r="AI1177" s="2"/>
      <c r="AJ1177" s="2"/>
      <c r="AK1177" s="2"/>
    </row>
    <row r="1178" spans="2:37">
      <c r="B1178" s="45" t="s">
        <v>72</v>
      </c>
      <c r="C1178" s="340">
        <v>46</v>
      </c>
      <c r="D1178" s="341">
        <v>0</v>
      </c>
      <c r="E1178" s="327"/>
      <c r="F1178" s="652">
        <v>0</v>
      </c>
      <c r="G1178" s="653"/>
      <c r="H1178" s="404">
        <v>0</v>
      </c>
      <c r="J1178" s="652">
        <v>0</v>
      </c>
      <c r="K1178" s="653"/>
      <c r="L1178" s="404">
        <v>0</v>
      </c>
      <c r="M1178" s="2"/>
      <c r="N1178" s="2"/>
      <c r="O1178" s="2"/>
      <c r="P1178" s="2"/>
      <c r="Q1178" s="2"/>
      <c r="R1178" s="2"/>
      <c r="S1178" s="2"/>
      <c r="T1178" s="2"/>
      <c r="U1178" s="2"/>
      <c r="V1178" s="2"/>
      <c r="W1178" s="2"/>
      <c r="X1178" s="2"/>
      <c r="Y1178" s="2"/>
      <c r="Z1178" s="2"/>
      <c r="AA1178" s="2"/>
      <c r="AB1178" s="2"/>
      <c r="AC1178" s="2"/>
      <c r="AD1178" s="2"/>
      <c r="AE1178" s="2"/>
      <c r="AF1178" s="2"/>
      <c r="AG1178" s="2"/>
      <c r="AH1178" s="2"/>
      <c r="AI1178" s="2"/>
      <c r="AJ1178" s="2"/>
      <c r="AK1178" s="2"/>
    </row>
    <row r="1179" spans="2:37">
      <c r="B1179" s="342" t="s">
        <v>54</v>
      </c>
      <c r="C1179" s="343"/>
      <c r="D1179" s="344">
        <v>0</v>
      </c>
      <c r="E1179" s="327"/>
      <c r="F1179" s="654">
        <v>0</v>
      </c>
      <c r="G1179" s="655"/>
      <c r="H1179" s="403">
        <f>IF(D1179=0,0,((F1179-D1179)/D1179))</f>
        <v>0</v>
      </c>
      <c r="J1179" s="676">
        <v>0</v>
      </c>
      <c r="K1179" s="677"/>
      <c r="L1179" s="408">
        <f>IF(F1179=0,0,((J1179-F1179)/F1179))</f>
        <v>0</v>
      </c>
      <c r="M1179" s="2"/>
      <c r="N1179" s="2"/>
      <c r="S1179" s="2"/>
      <c r="T1179" s="2"/>
      <c r="U1179" s="2"/>
      <c r="V1179" s="2"/>
      <c r="W1179" s="2"/>
      <c r="X1179" s="2"/>
      <c r="Y1179" s="2"/>
      <c r="Z1179" s="2"/>
      <c r="AA1179" s="2"/>
      <c r="AB1179" s="2"/>
      <c r="AC1179" s="2"/>
      <c r="AD1179" s="2"/>
      <c r="AE1179" s="2"/>
      <c r="AF1179" s="2"/>
      <c r="AG1179" s="2"/>
      <c r="AH1179" s="2"/>
      <c r="AI1179" s="2"/>
      <c r="AJ1179" s="2"/>
      <c r="AK1179" s="2"/>
    </row>
    <row r="1180" spans="2:37">
      <c r="B1180" s="45" t="s">
        <v>55</v>
      </c>
      <c r="C1180" s="340"/>
      <c r="D1180" s="329">
        <f>SUM([1]C053!$C$228:$C$244)</f>
        <v>0</v>
      </c>
      <c r="E1180" s="327"/>
      <c r="F1180" s="671">
        <f>SUM([1]C053!$D$228:$D$244)</f>
        <v>0</v>
      </c>
      <c r="G1180" s="653"/>
      <c r="H1180" s="401">
        <f>IF(D1180=0,0,((F1180-D1180)/D1180))</f>
        <v>0</v>
      </c>
      <c r="J1180" s="652">
        <f>[1]C053!$E$244</f>
        <v>0</v>
      </c>
      <c r="K1180" s="653"/>
      <c r="L1180" s="404">
        <v>0</v>
      </c>
      <c r="M1180" s="2"/>
      <c r="N1180" s="2"/>
      <c r="S1180" s="2"/>
      <c r="T1180" s="2"/>
      <c r="U1180" s="2"/>
      <c r="V1180" s="2"/>
      <c r="W1180" s="2"/>
      <c r="X1180" s="2"/>
      <c r="Y1180" s="2"/>
      <c r="Z1180" s="2"/>
      <c r="AA1180" s="2"/>
      <c r="AB1180" s="2"/>
      <c r="AC1180" s="2"/>
      <c r="AD1180" s="2"/>
      <c r="AE1180" s="2"/>
      <c r="AF1180" s="2"/>
      <c r="AG1180" s="2"/>
      <c r="AH1180" s="2"/>
      <c r="AI1180" s="2"/>
      <c r="AJ1180" s="2"/>
      <c r="AK1180" s="2"/>
    </row>
    <row r="1181" spans="2:37">
      <c r="B1181" s="342" t="s">
        <v>78</v>
      </c>
      <c r="C1181" s="343">
        <v>54</v>
      </c>
      <c r="D1181" s="344">
        <v>0</v>
      </c>
      <c r="E1181" s="327"/>
      <c r="F1181" s="654">
        <v>0</v>
      </c>
      <c r="G1181" s="655"/>
      <c r="H1181" s="405" t="s">
        <v>139</v>
      </c>
      <c r="J1181" s="678"/>
      <c r="K1181" s="679"/>
      <c r="L1181" s="409" t="s">
        <v>139</v>
      </c>
      <c r="M1181" s="2"/>
      <c r="N1181" s="2"/>
      <c r="S1181" s="2"/>
      <c r="T1181" s="2"/>
      <c r="U1181" s="2"/>
      <c r="V1181" s="2"/>
      <c r="W1181" s="2"/>
      <c r="X1181" s="2"/>
      <c r="Y1181" s="2"/>
      <c r="Z1181" s="2"/>
      <c r="AA1181" s="2"/>
      <c r="AB1181" s="2"/>
      <c r="AC1181" s="2"/>
      <c r="AD1181" s="2"/>
      <c r="AE1181" s="2"/>
      <c r="AF1181" s="2"/>
      <c r="AG1181" s="2"/>
      <c r="AH1181" s="2"/>
      <c r="AI1181" s="2"/>
      <c r="AJ1181" s="2"/>
      <c r="AK1181" s="2"/>
    </row>
    <row r="1182" spans="2:37">
      <c r="B1182" s="45" t="s">
        <v>57</v>
      </c>
      <c r="C1182" s="340"/>
      <c r="D1182" s="341">
        <v>0</v>
      </c>
      <c r="E1182" s="327"/>
      <c r="F1182" s="652">
        <v>0</v>
      </c>
      <c r="G1182" s="653"/>
      <c r="H1182" s="401">
        <f t="shared" ref="H1182:H1194" si="102">IF(D1182=0,0,((F1182-D1182)/D1182))</f>
        <v>0</v>
      </c>
      <c r="J1182" s="680">
        <v>0</v>
      </c>
      <c r="K1182" s="681"/>
      <c r="L1182" s="410">
        <f t="shared" ref="L1182:L1194" si="103">IF(F1182=0,0,((J1182-F1182)/F1182))</f>
        <v>0</v>
      </c>
      <c r="M1182" s="2"/>
      <c r="N1182" s="2"/>
      <c r="O1182" s="2"/>
      <c r="P1182" s="2"/>
      <c r="Q1182" s="2"/>
      <c r="R1182" s="2"/>
      <c r="S1182" s="2"/>
      <c r="T1182" s="2"/>
      <c r="U1182" s="2"/>
      <c r="V1182" s="2"/>
      <c r="W1182" s="2"/>
      <c r="X1182" s="2"/>
      <c r="Y1182" s="2"/>
      <c r="Z1182" s="2"/>
      <c r="AA1182" s="2"/>
      <c r="AB1182" s="2"/>
      <c r="AC1182" s="2"/>
      <c r="AD1182" s="2"/>
      <c r="AE1182" s="2"/>
      <c r="AF1182" s="2"/>
      <c r="AG1182" s="2"/>
      <c r="AH1182" s="2"/>
      <c r="AI1182" s="2"/>
      <c r="AJ1182" s="2"/>
      <c r="AK1182" s="2"/>
    </row>
    <row r="1183" spans="2:37">
      <c r="B1183" s="351" t="str">
        <f>B1118</f>
        <v>Bond and Interest #1</v>
      </c>
      <c r="C1183" s="343"/>
      <c r="D1183" s="344">
        <v>0</v>
      </c>
      <c r="E1183" s="327"/>
      <c r="F1183" s="654">
        <v>0</v>
      </c>
      <c r="G1183" s="655"/>
      <c r="H1183" s="403">
        <f t="shared" si="102"/>
        <v>0</v>
      </c>
      <c r="J1183" s="682">
        <v>0</v>
      </c>
      <c r="K1183" s="683"/>
      <c r="L1183" s="411">
        <f t="shared" si="103"/>
        <v>0</v>
      </c>
      <c r="M1183" s="2"/>
      <c r="N1183" s="2"/>
      <c r="O1183" s="2"/>
      <c r="P1183" s="2"/>
      <c r="Q1183" s="2"/>
      <c r="R1183" s="2"/>
      <c r="S1183" s="2"/>
      <c r="T1183" s="2"/>
      <c r="U1183" s="2"/>
      <c r="V1183" s="2"/>
      <c r="W1183" s="2"/>
      <c r="X1183" s="2"/>
      <c r="Y1183" s="2"/>
      <c r="Z1183" s="2"/>
      <c r="AA1183" s="2"/>
      <c r="AB1183" s="2"/>
      <c r="AC1183" s="2"/>
      <c r="AD1183" s="2"/>
      <c r="AE1183" s="2"/>
      <c r="AF1183" s="2"/>
      <c r="AG1183" s="2"/>
      <c r="AH1183" s="2"/>
      <c r="AI1183" s="2"/>
      <c r="AJ1183" s="2"/>
      <c r="AK1183" s="2"/>
    </row>
    <row r="1184" spans="2:37">
      <c r="B1184" s="350" t="str">
        <f>B1119</f>
        <v>Bond and Interest #2</v>
      </c>
      <c r="C1184" s="340"/>
      <c r="D1184" s="341">
        <v>0</v>
      </c>
      <c r="E1184" s="327"/>
      <c r="F1184" s="652">
        <v>0</v>
      </c>
      <c r="G1184" s="653"/>
      <c r="H1184" s="401">
        <f t="shared" si="102"/>
        <v>0</v>
      </c>
      <c r="J1184" s="652">
        <v>0</v>
      </c>
      <c r="K1184" s="653"/>
      <c r="L1184" s="401">
        <f t="shared" si="103"/>
        <v>0</v>
      </c>
      <c r="M1184" s="2"/>
      <c r="N1184" s="2"/>
      <c r="O1184" s="2"/>
      <c r="P1184" s="2"/>
      <c r="Q1184" s="2"/>
      <c r="R1184" s="2"/>
      <c r="S1184" s="2"/>
      <c r="T1184" s="2"/>
      <c r="U1184" s="2"/>
      <c r="V1184" s="2"/>
      <c r="W1184" s="2"/>
      <c r="X1184" s="2"/>
      <c r="Y1184" s="2"/>
      <c r="Z1184" s="2"/>
      <c r="AA1184" s="2"/>
      <c r="AB1184" s="2"/>
      <c r="AC1184" s="2"/>
      <c r="AD1184" s="2"/>
      <c r="AE1184" s="2"/>
      <c r="AF1184" s="2"/>
      <c r="AG1184" s="2"/>
      <c r="AH1184" s="2"/>
      <c r="AI1184" s="2"/>
      <c r="AJ1184" s="2"/>
      <c r="AK1184" s="2"/>
    </row>
    <row r="1185" spans="2:37">
      <c r="B1185" s="342" t="s">
        <v>58</v>
      </c>
      <c r="C1185" s="343"/>
      <c r="D1185" s="344">
        <v>0</v>
      </c>
      <c r="E1185" s="327"/>
      <c r="F1185" s="654">
        <v>0</v>
      </c>
      <c r="G1185" s="655"/>
      <c r="H1185" s="403">
        <f t="shared" si="102"/>
        <v>0</v>
      </c>
      <c r="J1185" s="654">
        <v>0</v>
      </c>
      <c r="K1185" s="655"/>
      <c r="L1185" s="403">
        <f t="shared" si="103"/>
        <v>0</v>
      </c>
      <c r="M1185" s="2"/>
      <c r="N1185" s="2"/>
      <c r="O1185" s="2"/>
      <c r="P1185" s="2"/>
      <c r="Q1185" s="2"/>
      <c r="R1185" s="2"/>
      <c r="S1185" s="2"/>
      <c r="T1185" s="2"/>
      <c r="U1185" s="2"/>
      <c r="V1185" s="2"/>
      <c r="W1185" s="2"/>
      <c r="X1185" s="2"/>
      <c r="Y1185" s="2"/>
      <c r="Z1185" s="2"/>
      <c r="AA1185" s="2"/>
      <c r="AB1185" s="2"/>
      <c r="AC1185" s="2"/>
      <c r="AD1185" s="2"/>
      <c r="AE1185" s="2"/>
      <c r="AF1185" s="2"/>
      <c r="AG1185" s="2"/>
      <c r="AH1185" s="2"/>
      <c r="AI1185" s="2"/>
      <c r="AJ1185" s="2"/>
      <c r="AK1185" s="2"/>
    </row>
    <row r="1186" spans="2:37">
      <c r="B1186" s="45" t="s">
        <v>59</v>
      </c>
      <c r="C1186" s="340">
        <v>67</v>
      </c>
      <c r="D1186" s="341">
        <v>0</v>
      </c>
      <c r="E1186" s="327"/>
      <c r="F1186" s="652">
        <v>0</v>
      </c>
      <c r="G1186" s="653"/>
      <c r="H1186" s="401">
        <f t="shared" si="102"/>
        <v>0</v>
      </c>
      <c r="J1186" s="652">
        <v>0</v>
      </c>
      <c r="K1186" s="653"/>
      <c r="L1186" s="401">
        <f t="shared" si="103"/>
        <v>0</v>
      </c>
      <c r="M1186" s="2"/>
      <c r="N1186" s="2"/>
      <c r="S1186" s="2"/>
      <c r="T1186" s="2"/>
      <c r="U1186" s="2"/>
      <c r="V1186" s="2"/>
      <c r="W1186" s="2"/>
      <c r="X1186" s="2"/>
      <c r="Y1186" s="2"/>
      <c r="Z1186" s="2"/>
      <c r="AA1186" s="2"/>
      <c r="AB1186" s="2"/>
      <c r="AC1186" s="2"/>
      <c r="AD1186" s="2"/>
      <c r="AE1186" s="2"/>
      <c r="AF1186" s="2"/>
      <c r="AG1186" s="2"/>
      <c r="AH1186" s="2"/>
      <c r="AI1186" s="2"/>
      <c r="AJ1186" s="2"/>
      <c r="AK1186" s="2"/>
    </row>
    <row r="1187" spans="2:37" ht="15" thickBot="1">
      <c r="B1187" s="412" t="s">
        <v>60</v>
      </c>
      <c r="C1187" s="413"/>
      <c r="D1187" s="414">
        <v>0</v>
      </c>
      <c r="E1187" s="327"/>
      <c r="F1187" s="729">
        <v>0</v>
      </c>
      <c r="G1187" s="730"/>
      <c r="H1187" s="415">
        <f t="shared" si="102"/>
        <v>0</v>
      </c>
      <c r="J1187" s="729">
        <v>0</v>
      </c>
      <c r="K1187" s="730"/>
      <c r="L1187" s="415">
        <f t="shared" si="103"/>
        <v>0</v>
      </c>
      <c r="M1187" s="2"/>
      <c r="N1187" s="2"/>
      <c r="S1187" s="2"/>
      <c r="T1187" s="2"/>
      <c r="U1187" s="2"/>
      <c r="V1187" s="2"/>
      <c r="W1187" s="2"/>
      <c r="X1187" s="2"/>
      <c r="Y1187" s="2"/>
      <c r="Z1187" s="2"/>
      <c r="AA1187" s="2"/>
      <c r="AB1187" s="2"/>
      <c r="AC1187" s="2"/>
      <c r="AD1187" s="2"/>
      <c r="AE1187" s="2"/>
      <c r="AF1187" s="2"/>
      <c r="AG1187" s="2"/>
      <c r="AH1187" s="2"/>
      <c r="AI1187" s="2"/>
      <c r="AJ1187" s="2"/>
      <c r="AK1187" s="2"/>
    </row>
    <row r="1188" spans="2:37" ht="15" thickTop="1">
      <c r="B1188" s="416" t="s">
        <v>61</v>
      </c>
      <c r="C1188" s="416"/>
      <c r="D1188" s="417">
        <f>SUM(D1156:D1187)</f>
        <v>565812</v>
      </c>
      <c r="E1188" s="327"/>
      <c r="F1188" s="727">
        <f>SUM(F1156:G1187)</f>
        <v>515924</v>
      </c>
      <c r="G1188" s="728"/>
      <c r="H1188" s="418">
        <f t="shared" si="102"/>
        <v>-0.09</v>
      </c>
      <c r="J1188" s="727">
        <f>SUM(J1156:K1187)</f>
        <v>380264</v>
      </c>
      <c r="K1188" s="728"/>
      <c r="L1188" s="418">
        <f t="shared" si="103"/>
        <v>-0.26</v>
      </c>
      <c r="M1188" s="2"/>
      <c r="N1188" s="2"/>
      <c r="O1188" s="2"/>
      <c r="P1188" s="2"/>
      <c r="Q1188" s="2"/>
      <c r="R1188" s="2"/>
      <c r="S1188" s="2"/>
      <c r="T1188" s="2"/>
      <c r="U1188" s="2"/>
      <c r="V1188" s="2"/>
      <c r="W1188" s="2"/>
      <c r="X1188" s="2"/>
      <c r="Y1188" s="2"/>
      <c r="Z1188" s="2"/>
      <c r="AA1188" s="2"/>
      <c r="AB1188" s="2"/>
      <c r="AC1188" s="2"/>
      <c r="AD1188" s="2"/>
      <c r="AE1188" s="2"/>
      <c r="AF1188" s="2"/>
      <c r="AG1188" s="2"/>
      <c r="AH1188" s="2"/>
      <c r="AI1188" s="2"/>
      <c r="AJ1188" s="2"/>
      <c r="AK1188" s="2"/>
    </row>
    <row r="1189" spans="2:37" ht="15.75">
      <c r="B1189" s="45" t="s">
        <v>181</v>
      </c>
      <c r="C1189" s="44"/>
      <c r="D1189" s="419">
        <f>G1312</f>
        <v>70.7</v>
      </c>
      <c r="E1189" s="327"/>
      <c r="F1189" s="719">
        <f>I1312</f>
        <v>82.5</v>
      </c>
      <c r="G1189" s="720"/>
      <c r="H1189" s="227">
        <f t="shared" si="102"/>
        <v>0.17</v>
      </c>
      <c r="J1189" s="719">
        <f>K1312</f>
        <v>70</v>
      </c>
      <c r="K1189" s="720"/>
      <c r="L1189" s="227">
        <f t="shared" si="103"/>
        <v>-0.15</v>
      </c>
      <c r="M1189" s="2"/>
      <c r="N1189" s="2"/>
      <c r="O1189" s="2"/>
      <c r="P1189" s="2"/>
      <c r="Q1189" s="2"/>
      <c r="R1189" s="2"/>
      <c r="S1189" s="2"/>
      <c r="T1189" s="2"/>
      <c r="U1189" s="2"/>
      <c r="V1189" s="2"/>
      <c r="W1189" s="2"/>
      <c r="X1189" s="2"/>
      <c r="Y1189" s="2"/>
      <c r="Z1189" s="2"/>
      <c r="AA1189" s="2"/>
      <c r="AB1189" s="2"/>
      <c r="AC1189" s="2"/>
      <c r="AD1189" s="2"/>
      <c r="AE1189" s="2"/>
      <c r="AF1189" s="2"/>
      <c r="AG1189" s="2"/>
      <c r="AH1189" s="2"/>
      <c r="AI1189" s="2"/>
      <c r="AJ1189" s="2"/>
      <c r="AK1189" s="2"/>
    </row>
    <row r="1190" spans="2:37" ht="16.5" thickBot="1">
      <c r="B1190" s="394" t="s">
        <v>182</v>
      </c>
      <c r="C1190" s="394"/>
      <c r="D1190" s="395">
        <f>IF(D1188=0,0,D1188/D1189)</f>
        <v>8003</v>
      </c>
      <c r="E1190" s="327"/>
      <c r="F1190" s="656">
        <f>IF(F1188=0,0,F1188/F1189)</f>
        <v>6254</v>
      </c>
      <c r="G1190" s="655"/>
      <c r="H1190" s="420">
        <f t="shared" si="102"/>
        <v>-0.22</v>
      </c>
      <c r="J1190" s="656">
        <f>IF(J1188=0,0,J1188/J1189)</f>
        <v>5432</v>
      </c>
      <c r="K1190" s="655"/>
      <c r="L1190" s="420">
        <f t="shared" si="103"/>
        <v>-0.13</v>
      </c>
      <c r="M1190" s="2"/>
      <c r="N1190" s="2"/>
      <c r="O1190" s="2"/>
      <c r="P1190" s="2"/>
      <c r="Q1190" s="2"/>
      <c r="R1190" s="2"/>
      <c r="S1190" s="2"/>
      <c r="T1190" s="2"/>
      <c r="U1190" s="2"/>
      <c r="V1190" s="2"/>
      <c r="W1190" s="2"/>
      <c r="X1190" s="2"/>
      <c r="Y1190" s="2"/>
      <c r="Z1190" s="2"/>
      <c r="AA1190" s="2"/>
      <c r="AB1190" s="2"/>
      <c r="AC1190" s="2"/>
      <c r="AD1190" s="2"/>
      <c r="AE1190" s="2"/>
      <c r="AF1190" s="2"/>
      <c r="AG1190" s="2"/>
      <c r="AH1190" s="2"/>
      <c r="AI1190" s="2"/>
      <c r="AJ1190" s="2"/>
      <c r="AK1190" s="2"/>
    </row>
    <row r="1191" spans="2:37">
      <c r="B1191" s="235" t="s">
        <v>63</v>
      </c>
      <c r="C1191" s="45">
        <v>10</v>
      </c>
      <c r="D1191" s="341">
        <v>0</v>
      </c>
      <c r="E1191" s="327"/>
      <c r="F1191" s="725">
        <v>0</v>
      </c>
      <c r="G1191" s="726"/>
      <c r="H1191" s="421">
        <f t="shared" si="102"/>
        <v>0</v>
      </c>
      <c r="J1191" s="725">
        <v>0</v>
      </c>
      <c r="K1191" s="726"/>
      <c r="L1191" s="421">
        <f t="shared" si="103"/>
        <v>0</v>
      </c>
      <c r="M1191" s="2"/>
      <c r="N1191" s="2"/>
      <c r="O1191" s="2"/>
      <c r="P1191" s="2"/>
      <c r="Q1191" s="2"/>
      <c r="R1191" s="2"/>
      <c r="S1191" s="2"/>
      <c r="T1191" s="2"/>
      <c r="U1191" s="2"/>
      <c r="V1191" s="2"/>
      <c r="W1191" s="2"/>
      <c r="X1191" s="2"/>
      <c r="Y1191" s="2"/>
      <c r="Z1191" s="2"/>
      <c r="AA1191" s="2"/>
      <c r="AB1191" s="2"/>
      <c r="AC1191" s="2"/>
      <c r="AD1191" s="2"/>
      <c r="AE1191" s="2"/>
      <c r="AF1191" s="2"/>
      <c r="AG1191" s="2"/>
      <c r="AH1191" s="2"/>
      <c r="AI1191" s="2"/>
      <c r="AJ1191" s="2"/>
      <c r="AK1191" s="2"/>
    </row>
    <row r="1192" spans="2:37">
      <c r="B1192" s="324" t="s">
        <v>64</v>
      </c>
      <c r="C1192" s="324">
        <v>12</v>
      </c>
      <c r="D1192" s="422">
        <v>0</v>
      </c>
      <c r="E1192" s="327"/>
      <c r="F1192" s="654">
        <v>0</v>
      </c>
      <c r="G1192" s="655"/>
      <c r="H1192" s="403">
        <f t="shared" si="102"/>
        <v>0</v>
      </c>
      <c r="J1192" s="654">
        <v>0</v>
      </c>
      <c r="K1192" s="655"/>
      <c r="L1192" s="403">
        <f t="shared" si="103"/>
        <v>0</v>
      </c>
      <c r="M1192" s="2"/>
      <c r="N1192" s="2"/>
      <c r="O1192" s="2"/>
      <c r="P1192" s="2"/>
      <c r="Q1192" s="2"/>
      <c r="R1192" s="2"/>
      <c r="S1192" s="2"/>
      <c r="T1192" s="2"/>
      <c r="U1192" s="2"/>
      <c r="V1192" s="2"/>
      <c r="W1192" s="2"/>
      <c r="X1192" s="2"/>
      <c r="Y1192" s="2"/>
      <c r="Z1192" s="2"/>
      <c r="AA1192" s="2"/>
      <c r="AB1192" s="2"/>
      <c r="AC1192" s="2"/>
      <c r="AD1192" s="2"/>
      <c r="AE1192" s="2"/>
      <c r="AF1192" s="2"/>
      <c r="AG1192" s="2"/>
      <c r="AH1192" s="2"/>
      <c r="AI1192" s="2"/>
      <c r="AJ1192" s="2"/>
      <c r="AK1192" s="2"/>
    </row>
    <row r="1193" spans="2:37" ht="15" thickBot="1">
      <c r="B1193" s="361" t="s">
        <v>65</v>
      </c>
      <c r="C1193" s="361">
        <v>78</v>
      </c>
      <c r="D1193" s="391">
        <v>0</v>
      </c>
      <c r="E1193" s="327"/>
      <c r="F1193" s="659">
        <v>0</v>
      </c>
      <c r="G1193" s="660"/>
      <c r="H1193" s="423">
        <f t="shared" si="102"/>
        <v>0</v>
      </c>
      <c r="J1193" s="659">
        <v>0</v>
      </c>
      <c r="K1193" s="660"/>
      <c r="L1193" s="423">
        <f t="shared" si="103"/>
        <v>0</v>
      </c>
      <c r="M1193" s="2"/>
      <c r="N1193" s="2"/>
      <c r="O1193" s="2"/>
      <c r="P1193" s="2"/>
      <c r="Q1193" s="2"/>
      <c r="R1193" s="2"/>
      <c r="S1193" s="2"/>
      <c r="T1193" s="2"/>
      <c r="U1193" s="2"/>
      <c r="V1193" s="2"/>
      <c r="W1193" s="2"/>
      <c r="X1193" s="2"/>
      <c r="Y1193" s="2"/>
      <c r="Z1193" s="2"/>
      <c r="AA1193" s="2"/>
      <c r="AB1193" s="2"/>
      <c r="AC1193" s="2"/>
      <c r="AD1193" s="2"/>
      <c r="AE1193" s="2"/>
      <c r="AF1193" s="2"/>
      <c r="AG1193" s="2"/>
      <c r="AH1193" s="2"/>
      <c r="AI1193" s="2"/>
      <c r="AJ1193" s="2"/>
      <c r="AK1193" s="2"/>
    </row>
    <row r="1194" spans="2:37" ht="15" thickTop="1">
      <c r="B1194" s="365" t="s">
        <v>66</v>
      </c>
      <c r="C1194" s="365"/>
      <c r="D1194" s="373">
        <f>SUM(D1191:D1193,D1188)</f>
        <v>565812</v>
      </c>
      <c r="E1194" s="327"/>
      <c r="F1194" s="657">
        <f>SUM(F1191:G1193,F1188)</f>
        <v>515924</v>
      </c>
      <c r="G1194" s="658"/>
      <c r="H1194" s="424">
        <f t="shared" si="102"/>
        <v>-0.09</v>
      </c>
      <c r="J1194" s="657">
        <f>SUM(J1191:K1193,J1188)</f>
        <v>380264</v>
      </c>
      <c r="K1194" s="658"/>
      <c r="L1194" s="424">
        <f t="shared" si="103"/>
        <v>-0.26</v>
      </c>
      <c r="M1194" s="2"/>
      <c r="N1194" s="2"/>
      <c r="O1194" s="2"/>
      <c r="P1194" s="2"/>
      <c r="Q1194" s="2"/>
      <c r="R1194" s="2"/>
      <c r="S1194" s="2"/>
      <c r="T1194" s="2"/>
      <c r="U1194" s="2"/>
      <c r="V1194" s="2"/>
      <c r="W1194" s="2"/>
      <c r="X1194" s="2"/>
      <c r="Y1194" s="2"/>
      <c r="Z1194" s="2"/>
      <c r="AA1194" s="2"/>
      <c r="AB1194" s="2"/>
      <c r="AC1194" s="2"/>
      <c r="AD1194" s="2"/>
      <c r="AE1194" s="2"/>
      <c r="AF1194" s="2"/>
      <c r="AG1194" s="2"/>
      <c r="AH1194" s="2"/>
      <c r="AI1194" s="2"/>
      <c r="AJ1194" s="2"/>
      <c r="AK1194" s="2"/>
    </row>
    <row r="1195" spans="2:37" ht="6.75" customHeight="1">
      <c r="B1195" s="2"/>
      <c r="C1195" s="2"/>
      <c r="D1195" s="159"/>
      <c r="E1195" s="2"/>
      <c r="F1195" s="159"/>
      <c r="G1195" s="201"/>
      <c r="H1195" s="2"/>
      <c r="I1195" s="159"/>
      <c r="J1195" s="201"/>
      <c r="K1195" s="2"/>
      <c r="L1195" s="2"/>
      <c r="M1195" s="2"/>
      <c r="N1195" s="2"/>
      <c r="O1195" s="2"/>
      <c r="P1195" s="2"/>
      <c r="Q1195" s="2"/>
      <c r="R1195" s="2"/>
      <c r="S1195" s="2"/>
      <c r="T1195" s="2"/>
      <c r="U1195" s="2"/>
      <c r="V1195" s="2"/>
      <c r="W1195" s="2"/>
      <c r="X1195" s="2"/>
      <c r="Y1195" s="2"/>
      <c r="Z1195" s="2"/>
      <c r="AA1195" s="2"/>
      <c r="AB1195" s="2"/>
      <c r="AC1195" s="2"/>
      <c r="AD1195" s="2"/>
      <c r="AE1195" s="2"/>
      <c r="AF1195" s="2"/>
      <c r="AG1195" s="2"/>
      <c r="AH1195" s="2"/>
      <c r="AI1195" s="2"/>
      <c r="AJ1195" s="2"/>
      <c r="AK1195" s="2"/>
    </row>
    <row r="1196" spans="2:37">
      <c r="B1196" s="650"/>
      <c r="C1196" s="650"/>
      <c r="D1196" s="650"/>
      <c r="E1196" s="650"/>
      <c r="F1196" s="650"/>
      <c r="G1196" s="650"/>
      <c r="H1196" s="650"/>
      <c r="I1196" s="650"/>
      <c r="J1196" s="650"/>
      <c r="K1196" s="650"/>
      <c r="L1196" s="650"/>
      <c r="M1196" s="2"/>
      <c r="N1196" s="2"/>
      <c r="O1196" s="2"/>
      <c r="P1196" s="2"/>
      <c r="Q1196" s="2"/>
      <c r="R1196" s="2"/>
      <c r="S1196" s="2"/>
      <c r="T1196" s="2"/>
      <c r="U1196" s="2"/>
      <c r="V1196" s="2"/>
      <c r="W1196" s="2"/>
      <c r="X1196" s="2"/>
      <c r="Y1196" s="2"/>
      <c r="Z1196" s="2"/>
      <c r="AA1196" s="2"/>
      <c r="AB1196" s="2"/>
      <c r="AC1196" s="2"/>
      <c r="AD1196" s="2"/>
      <c r="AE1196" s="2"/>
      <c r="AF1196" s="2"/>
      <c r="AG1196" s="2"/>
      <c r="AH1196" s="2"/>
      <c r="AI1196" s="2"/>
      <c r="AJ1196" s="2"/>
      <c r="AK1196" s="2"/>
    </row>
    <row r="1197" spans="2:37">
      <c r="B1197" s="650"/>
      <c r="C1197" s="650"/>
      <c r="D1197" s="650"/>
      <c r="E1197" s="650"/>
      <c r="F1197" s="650"/>
      <c r="G1197" s="650"/>
      <c r="H1197" s="650"/>
      <c r="I1197" s="650"/>
      <c r="J1197" s="650"/>
      <c r="K1197" s="650"/>
      <c r="L1197" s="650"/>
      <c r="M1197" s="2"/>
      <c r="N1197" s="2"/>
      <c r="O1197" s="2"/>
      <c r="P1197" s="2"/>
      <c r="Q1197" s="2"/>
      <c r="R1197" s="2"/>
      <c r="S1197" s="2"/>
      <c r="T1197" s="2"/>
      <c r="U1197" s="2"/>
      <c r="V1197" s="2"/>
      <c r="W1197" s="2"/>
      <c r="X1197" s="2"/>
      <c r="Y1197" s="2"/>
      <c r="Z1197" s="2"/>
      <c r="AA1197" s="2"/>
      <c r="AB1197" s="2"/>
      <c r="AC1197" s="2"/>
      <c r="AD1197" s="2"/>
      <c r="AE1197" s="2"/>
      <c r="AF1197" s="2"/>
      <c r="AG1197" s="2"/>
      <c r="AH1197" s="2"/>
      <c r="AI1197" s="2"/>
      <c r="AJ1197" s="2"/>
      <c r="AK1197" s="2"/>
    </row>
    <row r="1198" spans="2:37">
      <c r="B1198" s="650"/>
      <c r="C1198" s="650"/>
      <c r="D1198" s="650"/>
      <c r="E1198" s="650"/>
      <c r="F1198" s="650"/>
      <c r="G1198" s="650"/>
      <c r="H1198" s="650"/>
      <c r="I1198" s="650"/>
      <c r="J1198" s="650"/>
      <c r="K1198" s="650"/>
      <c r="L1198" s="650"/>
      <c r="M1198" s="2"/>
      <c r="N1198" s="2"/>
      <c r="O1198" s="2"/>
      <c r="P1198" s="2"/>
      <c r="Q1198" s="2"/>
      <c r="R1198" s="2"/>
      <c r="S1198" s="2"/>
      <c r="T1198" s="2"/>
      <c r="U1198" s="2"/>
      <c r="V1198" s="2"/>
      <c r="W1198" s="2"/>
      <c r="X1198" s="2"/>
      <c r="Y1198" s="2"/>
      <c r="Z1198" s="2"/>
      <c r="AA1198" s="2"/>
      <c r="AB1198" s="2"/>
      <c r="AC1198" s="2"/>
      <c r="AD1198" s="2"/>
      <c r="AE1198" s="2"/>
      <c r="AF1198" s="2"/>
      <c r="AG1198" s="2"/>
      <c r="AH1198" s="2"/>
      <c r="AI1198" s="2"/>
      <c r="AJ1198" s="2"/>
      <c r="AK1198" s="2"/>
    </row>
    <row r="1199" spans="2:37">
      <c r="B1199" s="208"/>
      <c r="C1199" s="2"/>
      <c r="D1199" s="159"/>
      <c r="E1199" s="2"/>
      <c r="F1199" s="159"/>
      <c r="G1199" s="201"/>
      <c r="H1199" s="2"/>
      <c r="I1199" s="159"/>
      <c r="J1199" s="201"/>
      <c r="K1199" s="2"/>
      <c r="L1199" s="2"/>
      <c r="M1199" s="2"/>
      <c r="N1199" s="2"/>
      <c r="O1199" s="2"/>
      <c r="P1199" s="2"/>
      <c r="Q1199" s="2"/>
      <c r="R1199" s="2"/>
      <c r="S1199" s="2"/>
      <c r="T1199" s="2"/>
      <c r="U1199" s="2"/>
      <c r="V1199" s="2"/>
      <c r="W1199" s="2"/>
      <c r="X1199" s="2"/>
      <c r="Y1199" s="2"/>
      <c r="Z1199" s="2"/>
      <c r="AA1199" s="2"/>
      <c r="AB1199" s="2"/>
      <c r="AC1199" s="2"/>
      <c r="AD1199" s="2"/>
      <c r="AE1199" s="2"/>
      <c r="AF1199" s="2"/>
      <c r="AG1199" s="2"/>
      <c r="AH1199" s="2"/>
      <c r="AI1199" s="2"/>
      <c r="AJ1199" s="2"/>
      <c r="AK1199" s="2"/>
    </row>
    <row r="1200" spans="2:37">
      <c r="B1200" s="2"/>
      <c r="C1200" s="2"/>
      <c r="D1200" s="159"/>
      <c r="E1200" s="2"/>
      <c r="F1200" s="159"/>
      <c r="G1200" s="201"/>
      <c r="H1200" s="2"/>
      <c r="I1200" s="159"/>
      <c r="J1200" s="201"/>
      <c r="K1200" s="2"/>
      <c r="L1200" s="2"/>
      <c r="M1200" s="2"/>
      <c r="N1200" s="2"/>
      <c r="O1200" s="2"/>
      <c r="P1200" s="2"/>
      <c r="Q1200" s="2"/>
      <c r="R1200" s="2"/>
      <c r="S1200" s="2"/>
      <c r="T1200" s="2"/>
      <c r="U1200" s="2"/>
      <c r="V1200" s="2"/>
      <c r="W1200" s="2"/>
      <c r="X1200" s="2"/>
      <c r="Y1200" s="2"/>
      <c r="Z1200" s="2"/>
      <c r="AA1200" s="2"/>
      <c r="AB1200" s="2"/>
      <c r="AC1200" s="2"/>
      <c r="AD1200" s="2"/>
      <c r="AE1200" s="2"/>
      <c r="AF1200" s="2"/>
      <c r="AG1200" s="2"/>
      <c r="AH1200" s="2"/>
      <c r="AI1200" s="2"/>
      <c r="AJ1200" s="2"/>
      <c r="AK1200" s="2"/>
    </row>
    <row r="1201" spans="2:37">
      <c r="B1201" s="2"/>
      <c r="C1201" s="2"/>
      <c r="D1201" s="2"/>
      <c r="E1201" s="2"/>
      <c r="F1201" s="46"/>
      <c r="G1201" s="2"/>
      <c r="H1201" s="2"/>
      <c r="I1201" s="392"/>
      <c r="J1201" s="2"/>
      <c r="K1201" s="2"/>
      <c r="L1201" s="2"/>
      <c r="M1201" s="2"/>
      <c r="N1201" s="2"/>
      <c r="O1201" s="2"/>
      <c r="P1201" s="2"/>
      <c r="Q1201" s="2"/>
      <c r="R1201" s="2"/>
      <c r="S1201" s="2"/>
      <c r="T1201" s="2"/>
      <c r="U1201" s="2"/>
      <c r="V1201" s="2"/>
      <c r="W1201" s="2"/>
      <c r="X1201" s="2"/>
      <c r="Y1201" s="2"/>
      <c r="Z1201" s="2"/>
      <c r="AA1201" s="2"/>
      <c r="AB1201" s="2"/>
      <c r="AC1201" s="2"/>
      <c r="AD1201" s="2"/>
      <c r="AE1201" s="2"/>
      <c r="AF1201" s="2"/>
      <c r="AG1201" s="2"/>
      <c r="AH1201" s="2"/>
      <c r="AI1201" s="2"/>
      <c r="AJ1201" s="2"/>
      <c r="AK1201" s="2"/>
    </row>
    <row r="1202" spans="2:37">
      <c r="M1202" s="2"/>
      <c r="N1202" s="2"/>
      <c r="O1202" s="2"/>
      <c r="P1202" s="2"/>
      <c r="Q1202" s="2"/>
      <c r="R1202" s="2"/>
      <c r="S1202" s="2"/>
      <c r="T1202" s="2"/>
      <c r="U1202" s="2"/>
      <c r="V1202" s="2"/>
      <c r="W1202" s="2"/>
      <c r="X1202" s="2"/>
      <c r="Y1202" s="2"/>
      <c r="Z1202" s="2"/>
      <c r="AA1202" s="2"/>
      <c r="AB1202" s="2"/>
      <c r="AC1202" s="2"/>
      <c r="AD1202" s="2"/>
      <c r="AE1202" s="2"/>
      <c r="AF1202" s="2"/>
      <c r="AG1202" s="2"/>
      <c r="AH1202" s="2"/>
      <c r="AI1202" s="2"/>
      <c r="AJ1202" s="2"/>
      <c r="AK1202" s="2"/>
    </row>
    <row r="1203" spans="2:37">
      <c r="M1203" s="2"/>
      <c r="N1203" s="2"/>
      <c r="O1203" s="2"/>
      <c r="P1203" s="140" t="str">
        <f>$B$1151</f>
        <v>Transfers (5200)</v>
      </c>
      <c r="Q1203" s="2"/>
      <c r="R1203" s="2"/>
      <c r="S1203" s="2"/>
      <c r="T1203" s="2"/>
      <c r="U1203" s="2"/>
      <c r="V1203" s="2"/>
      <c r="W1203" s="2"/>
      <c r="X1203" s="2"/>
      <c r="Y1203" s="2"/>
      <c r="Z1203" s="2"/>
      <c r="AA1203" s="2"/>
      <c r="AB1203" s="2"/>
      <c r="AC1203" s="2"/>
      <c r="AD1203" s="2"/>
      <c r="AE1203" s="2"/>
      <c r="AF1203" s="2"/>
      <c r="AG1203" s="2"/>
      <c r="AH1203" s="2"/>
      <c r="AI1203" s="2"/>
      <c r="AJ1203" s="2"/>
      <c r="AK1203" s="2"/>
    </row>
    <row r="1204" spans="2:37">
      <c r="M1204" s="2"/>
      <c r="N1204" s="2"/>
      <c r="O1204" s="2"/>
      <c r="P1204" s="82" t="str">
        <f>D4</f>
        <v>2023-2024</v>
      </c>
      <c r="Q1204" s="82" t="str">
        <f>F4</f>
        <v>2024-2025</v>
      </c>
      <c r="R1204" s="82" t="str">
        <f>I4</f>
        <v>2025-2026</v>
      </c>
      <c r="S1204" s="2"/>
      <c r="T1204" s="2"/>
      <c r="U1204" s="2"/>
      <c r="V1204" s="2"/>
      <c r="W1204" s="2"/>
      <c r="X1204" s="2"/>
      <c r="Y1204" s="2"/>
      <c r="Z1204" s="2"/>
      <c r="AA1204" s="2"/>
      <c r="AB1204" s="2"/>
      <c r="AC1204" s="2"/>
      <c r="AD1204" s="2"/>
      <c r="AE1204" s="2"/>
      <c r="AF1204" s="2"/>
      <c r="AG1204" s="2"/>
      <c r="AH1204" s="2"/>
      <c r="AI1204" s="2"/>
      <c r="AJ1204" s="2"/>
      <c r="AK1204" s="2"/>
    </row>
    <row r="1205" spans="2:37">
      <c r="M1205" s="2"/>
      <c r="N1205" s="2"/>
      <c r="O1205" s="140" t="str">
        <f>$B1151</f>
        <v>Transfers (5200)</v>
      </c>
      <c r="P1205" s="207">
        <f>IF(AND($D1194&lt;=0,$F1194&lt;=0,$J1194&lt;=0),#N/A,IF($D1194&lt;=0,0,$D1194))</f>
        <v>565812</v>
      </c>
      <c r="Q1205" s="207">
        <f>IF(AND($D1194&lt;=0,$F1194&lt;=0,$J1194&lt;=0),#N/A,IF($F1194&lt;=0,0,$F1194))</f>
        <v>515924</v>
      </c>
      <c r="R1205" s="207">
        <f>IF(AND($D1194&lt;=0,$F1194&lt;=0,$J1194&lt;=0),#N/A,IF($J1194&lt;=0,0,$J1194))</f>
        <v>380264</v>
      </c>
      <c r="S1205" s="2"/>
      <c r="T1205" s="2"/>
      <c r="U1205" s="2"/>
      <c r="V1205" s="2"/>
      <c r="W1205" s="2"/>
      <c r="X1205" s="2"/>
      <c r="Y1205" s="2"/>
      <c r="Z1205" s="2"/>
      <c r="AA1205" s="2"/>
      <c r="AB1205" s="2"/>
      <c r="AC1205" s="2"/>
      <c r="AD1205" s="2"/>
      <c r="AE1205" s="2"/>
      <c r="AF1205" s="2"/>
      <c r="AG1205" s="2"/>
      <c r="AH1205" s="2"/>
      <c r="AI1205" s="2"/>
      <c r="AJ1205" s="2"/>
      <c r="AK1205" s="2"/>
    </row>
    <row r="1206" spans="2:37">
      <c r="M1206" s="2"/>
      <c r="N1206" s="2"/>
      <c r="O1206" s="2"/>
      <c r="P1206" s="2"/>
      <c r="Q1206" s="2"/>
      <c r="R1206" s="2"/>
      <c r="S1206" s="2"/>
      <c r="T1206" s="2"/>
      <c r="U1206" s="2"/>
      <c r="V1206" s="2"/>
      <c r="W1206" s="2"/>
      <c r="X1206" s="2"/>
      <c r="Y1206" s="2"/>
      <c r="Z1206" s="2"/>
      <c r="AA1206" s="2"/>
      <c r="AB1206" s="2"/>
      <c r="AC1206" s="2"/>
      <c r="AD1206" s="2"/>
      <c r="AE1206" s="2"/>
      <c r="AF1206" s="2"/>
      <c r="AG1206" s="2"/>
      <c r="AH1206" s="2"/>
      <c r="AI1206" s="2"/>
      <c r="AJ1206" s="2"/>
      <c r="AK1206" s="2"/>
    </row>
    <row r="1207" spans="2:37">
      <c r="M1207" s="2"/>
      <c r="N1207" s="2"/>
      <c r="O1207" s="2"/>
      <c r="P1207" s="2"/>
      <c r="Q1207" s="2"/>
      <c r="R1207" s="2"/>
      <c r="S1207" s="2"/>
      <c r="T1207" s="2"/>
      <c r="U1207" s="2"/>
      <c r="V1207" s="2"/>
      <c r="W1207" s="2"/>
      <c r="X1207" s="2"/>
      <c r="Y1207" s="2"/>
      <c r="Z1207" s="2"/>
      <c r="AA1207" s="2"/>
      <c r="AB1207" s="2"/>
      <c r="AC1207" s="2"/>
      <c r="AD1207" s="2"/>
      <c r="AE1207" s="2"/>
      <c r="AF1207" s="2"/>
      <c r="AG1207" s="2"/>
      <c r="AH1207" s="2"/>
      <c r="AI1207" s="2"/>
      <c r="AJ1207" s="2"/>
      <c r="AK1207" s="2"/>
    </row>
    <row r="1208" spans="2:37">
      <c r="M1208" s="2"/>
      <c r="N1208" s="2"/>
      <c r="O1208" s="2"/>
      <c r="P1208" s="2"/>
      <c r="Q1208" s="2"/>
      <c r="R1208" s="2"/>
      <c r="S1208" s="2"/>
      <c r="T1208" s="2"/>
      <c r="U1208" s="2"/>
      <c r="V1208" s="2"/>
      <c r="W1208" s="2"/>
      <c r="X1208" s="2"/>
      <c r="Y1208" s="2"/>
      <c r="Z1208" s="2"/>
      <c r="AA1208" s="2"/>
      <c r="AB1208" s="2"/>
      <c r="AC1208" s="2"/>
      <c r="AD1208" s="2"/>
      <c r="AE1208" s="2"/>
      <c r="AF1208" s="2"/>
      <c r="AG1208" s="2"/>
      <c r="AH1208" s="2"/>
      <c r="AI1208" s="2"/>
      <c r="AJ1208" s="2"/>
      <c r="AK1208" s="2"/>
    </row>
    <row r="1209" spans="2:37">
      <c r="M1209" s="2"/>
      <c r="N1209" s="2"/>
      <c r="O1209" s="2"/>
      <c r="P1209" s="2"/>
      <c r="Q1209" s="2"/>
      <c r="R1209" s="2"/>
      <c r="S1209" s="2"/>
      <c r="T1209" s="2"/>
      <c r="U1209" s="2"/>
      <c r="V1209" s="2"/>
      <c r="W1209" s="2"/>
      <c r="X1209" s="2"/>
      <c r="Y1209" s="2"/>
      <c r="Z1209" s="2"/>
      <c r="AA1209" s="2"/>
      <c r="AB1209" s="2"/>
      <c r="AC1209" s="2"/>
      <c r="AD1209" s="2"/>
      <c r="AE1209" s="2"/>
      <c r="AF1209" s="2"/>
      <c r="AG1209" s="2"/>
      <c r="AH1209" s="2"/>
      <c r="AI1209" s="2"/>
      <c r="AJ1209" s="2"/>
      <c r="AK1209" s="2"/>
    </row>
    <row r="1210" spans="2:37">
      <c r="M1210" s="2"/>
      <c r="N1210" s="2"/>
      <c r="O1210" s="2"/>
      <c r="P1210" s="2"/>
      <c r="Q1210" s="2"/>
      <c r="R1210" s="2"/>
      <c r="S1210" s="2"/>
      <c r="T1210" s="2"/>
      <c r="U1210" s="2"/>
      <c r="V1210" s="2"/>
      <c r="W1210" s="2"/>
      <c r="X1210" s="2"/>
      <c r="Y1210" s="2"/>
      <c r="Z1210" s="2"/>
      <c r="AA1210" s="2"/>
      <c r="AB1210" s="2"/>
      <c r="AC1210" s="2"/>
      <c r="AD1210" s="2"/>
      <c r="AE1210" s="2"/>
      <c r="AF1210" s="2"/>
      <c r="AG1210" s="2"/>
      <c r="AH1210" s="2"/>
      <c r="AI1210" s="2"/>
      <c r="AJ1210" s="2"/>
      <c r="AK1210" s="2"/>
    </row>
    <row r="1211" spans="2:37">
      <c r="M1211" s="2"/>
      <c r="N1211" s="2"/>
      <c r="O1211" s="2"/>
      <c r="P1211" s="2"/>
      <c r="Q1211" s="2"/>
      <c r="R1211" s="2"/>
      <c r="S1211" s="2"/>
      <c r="T1211" s="2"/>
      <c r="U1211" s="2"/>
      <c r="V1211" s="2"/>
      <c r="W1211" s="2"/>
      <c r="X1211" s="2"/>
      <c r="Y1211" s="2"/>
      <c r="Z1211" s="2"/>
      <c r="AA1211" s="2"/>
      <c r="AB1211" s="2"/>
      <c r="AC1211" s="2"/>
      <c r="AD1211" s="2"/>
      <c r="AE1211" s="2"/>
      <c r="AF1211" s="2"/>
      <c r="AG1211" s="2"/>
      <c r="AH1211" s="2"/>
      <c r="AI1211" s="2"/>
      <c r="AJ1211" s="2"/>
      <c r="AK1211" s="2"/>
    </row>
    <row r="1212" spans="2:37">
      <c r="M1212" s="2"/>
      <c r="N1212" s="2"/>
      <c r="O1212" s="2"/>
      <c r="P1212" s="2"/>
      <c r="Q1212" s="2"/>
      <c r="R1212" s="2"/>
      <c r="S1212" s="2"/>
      <c r="T1212" s="2"/>
      <c r="U1212" s="2"/>
      <c r="V1212" s="2"/>
      <c r="W1212" s="2"/>
      <c r="X1212" s="2"/>
      <c r="Y1212" s="2"/>
      <c r="Z1212" s="2"/>
      <c r="AA1212" s="2"/>
      <c r="AB1212" s="2"/>
      <c r="AC1212" s="2"/>
      <c r="AD1212" s="2"/>
      <c r="AE1212" s="2"/>
      <c r="AF1212" s="2"/>
      <c r="AG1212" s="2"/>
      <c r="AH1212" s="2"/>
      <c r="AI1212" s="2"/>
      <c r="AJ1212" s="2"/>
      <c r="AK1212" s="2"/>
    </row>
    <row r="1213" spans="2:37">
      <c r="M1213" s="2"/>
      <c r="N1213" s="2"/>
      <c r="O1213" s="2"/>
      <c r="P1213" s="2"/>
      <c r="Q1213" s="2"/>
      <c r="R1213" s="2"/>
      <c r="S1213" s="2"/>
      <c r="T1213" s="2"/>
      <c r="U1213" s="2"/>
      <c r="V1213" s="2"/>
      <c r="W1213" s="2"/>
      <c r="X1213" s="2"/>
      <c r="Y1213" s="2"/>
      <c r="Z1213" s="2"/>
      <c r="AA1213" s="2"/>
      <c r="AB1213" s="2"/>
      <c r="AC1213" s="2"/>
      <c r="AD1213" s="2"/>
      <c r="AE1213" s="2"/>
      <c r="AF1213" s="2"/>
      <c r="AG1213" s="2"/>
      <c r="AH1213" s="2"/>
      <c r="AI1213" s="2"/>
      <c r="AJ1213" s="2"/>
      <c r="AK1213" s="2"/>
    </row>
    <row r="1214" spans="2:37">
      <c r="M1214" s="2"/>
      <c r="N1214" s="2"/>
      <c r="O1214" s="2"/>
      <c r="P1214" s="2"/>
      <c r="Q1214" s="2"/>
      <c r="R1214" s="2"/>
      <c r="S1214" s="2"/>
      <c r="T1214" s="2"/>
      <c r="U1214" s="2"/>
      <c r="V1214" s="2"/>
      <c r="W1214" s="2"/>
      <c r="X1214" s="2"/>
      <c r="Y1214" s="2"/>
      <c r="Z1214" s="2"/>
      <c r="AA1214" s="2"/>
      <c r="AB1214" s="2"/>
      <c r="AC1214" s="2"/>
      <c r="AD1214" s="2"/>
      <c r="AE1214" s="2"/>
      <c r="AF1214" s="2"/>
      <c r="AG1214" s="2"/>
      <c r="AH1214" s="2"/>
      <c r="AI1214" s="2"/>
      <c r="AJ1214" s="2"/>
      <c r="AK1214" s="2"/>
    </row>
    <row r="1215" spans="2:37" ht="18">
      <c r="B1215" s="425"/>
      <c r="C1215" s="143"/>
      <c r="D1215" s="143"/>
      <c r="E1215" s="143"/>
      <c r="F1215" s="143"/>
      <c r="G1215" s="143"/>
      <c r="H1215" s="143"/>
      <c r="I1215" s="143"/>
      <c r="J1215" s="143"/>
      <c r="K1215" s="143"/>
      <c r="L1215" s="143"/>
      <c r="M1215" s="2"/>
      <c r="N1215" s="2"/>
      <c r="O1215" s="2"/>
      <c r="P1215" s="2"/>
      <c r="Q1215" s="2"/>
      <c r="R1215" s="2"/>
      <c r="S1215" s="2"/>
      <c r="T1215" s="2"/>
      <c r="U1215" s="2"/>
      <c r="V1215" s="2"/>
      <c r="W1215" s="2"/>
      <c r="X1215" s="2"/>
      <c r="Y1215" s="2"/>
      <c r="Z1215" s="2"/>
      <c r="AA1215" s="2"/>
      <c r="AB1215" s="2"/>
      <c r="AC1215" s="2"/>
      <c r="AD1215" s="2"/>
      <c r="AE1215" s="2"/>
      <c r="AF1215" s="2"/>
      <c r="AG1215" s="2"/>
      <c r="AH1215" s="2"/>
      <c r="AI1215" s="2"/>
      <c r="AJ1215" s="2"/>
      <c r="AK1215" s="2"/>
    </row>
    <row r="1216" spans="2:37" ht="18">
      <c r="B1216" s="425" t="s">
        <v>160</v>
      </c>
      <c r="C1216" s="48"/>
      <c r="D1216" s="48"/>
      <c r="E1216" s="48"/>
      <c r="F1216" s="48"/>
      <c r="G1216" s="48"/>
      <c r="H1216" s="48"/>
      <c r="I1216" s="48"/>
      <c r="J1216" s="143"/>
      <c r="K1216" s="143"/>
      <c r="L1216" s="143"/>
      <c r="M1216" s="2"/>
      <c r="N1216" s="2"/>
      <c r="O1216" s="2"/>
      <c r="P1216" s="2"/>
      <c r="Q1216" s="2"/>
      <c r="R1216" s="2"/>
      <c r="S1216" s="2"/>
      <c r="T1216" s="2"/>
      <c r="U1216" s="2"/>
      <c r="V1216" s="2"/>
      <c r="W1216" s="2"/>
      <c r="X1216" s="2"/>
      <c r="Y1216" s="2"/>
      <c r="Z1216" s="2"/>
      <c r="AA1216" s="2"/>
      <c r="AB1216" s="2"/>
      <c r="AC1216" s="2"/>
      <c r="AD1216" s="2"/>
      <c r="AE1216" s="2"/>
      <c r="AF1216" s="2"/>
      <c r="AG1216" s="2"/>
      <c r="AH1216" s="2"/>
      <c r="AI1216" s="2"/>
      <c r="AJ1216" s="2"/>
      <c r="AK1216" s="2"/>
    </row>
    <row r="1217" spans="2:37">
      <c r="B1217" s="48"/>
      <c r="C1217" s="378" t="s">
        <v>1</v>
      </c>
      <c r="D1217" s="379"/>
      <c r="E1217" s="4"/>
      <c r="F1217" s="317"/>
      <c r="G1217" s="4"/>
      <c r="H1217" s="4"/>
      <c r="I1217" s="317"/>
      <c r="J1217" s="2"/>
      <c r="K1217" s="2"/>
      <c r="L1217" s="2"/>
      <c r="M1217" s="2"/>
      <c r="N1217" s="2"/>
      <c r="O1217" s="2"/>
      <c r="P1217" s="2"/>
      <c r="Q1217" s="2"/>
      <c r="R1217" s="2"/>
      <c r="S1217" s="2"/>
      <c r="T1217" s="2"/>
      <c r="U1217" s="2"/>
      <c r="V1217" s="2"/>
      <c r="W1217" s="2"/>
      <c r="X1217" s="2"/>
      <c r="Y1217" s="2"/>
      <c r="Z1217" s="2"/>
      <c r="AA1217" s="2"/>
      <c r="AB1217" s="2"/>
      <c r="AC1217" s="2"/>
      <c r="AD1217" s="2"/>
      <c r="AE1217" s="2"/>
      <c r="AF1217" s="2"/>
      <c r="AG1217" s="2"/>
      <c r="AH1217" s="2"/>
      <c r="AI1217" s="2"/>
      <c r="AJ1217" s="2"/>
      <c r="AK1217" s="2"/>
    </row>
    <row r="1218" spans="2:37">
      <c r="B1218" s="2"/>
      <c r="C1218" s="301" t="s">
        <v>4</v>
      </c>
      <c r="D1218" s="426">
        <f>[1]OpenData!$N$17</f>
        <v>45108</v>
      </c>
      <c r="E1218" s="2"/>
      <c r="G1218" s="711" t="str">
        <f>[1]OpenData!$O$17</f>
        <v>July 1, 2024</v>
      </c>
      <c r="H1218" s="712"/>
      <c r="J1218" s="2"/>
      <c r="K1218" s="723" t="str">
        <f>[1]OpenData!$P$17</f>
        <v>July 1, 2025</v>
      </c>
      <c r="L1218" s="724"/>
      <c r="M1218" s="2"/>
      <c r="N1218" s="2"/>
      <c r="O1218" s="2"/>
      <c r="P1218" s="2"/>
      <c r="Q1218" s="2"/>
      <c r="R1218" s="2"/>
      <c r="S1218" s="2"/>
      <c r="T1218" s="2"/>
      <c r="U1218" s="2"/>
      <c r="V1218" s="2"/>
      <c r="W1218" s="2"/>
      <c r="X1218" s="2"/>
      <c r="Y1218" s="2"/>
      <c r="Z1218" s="2"/>
      <c r="AA1218" s="2"/>
      <c r="AB1218" s="2"/>
      <c r="AC1218" s="2"/>
      <c r="AD1218" s="2"/>
      <c r="AE1218" s="2"/>
      <c r="AF1218" s="2"/>
      <c r="AG1218" s="2"/>
      <c r="AH1218" s="2"/>
      <c r="AI1218" s="2"/>
      <c r="AJ1218" s="2"/>
      <c r="AK1218" s="2"/>
    </row>
    <row r="1219" spans="2:37">
      <c r="B1219" s="427" t="s">
        <v>34</v>
      </c>
      <c r="C1219" s="428">
        <v>6</v>
      </c>
      <c r="D1219" s="429">
        <f>[1]C06!$C$8</f>
        <v>0</v>
      </c>
      <c r="E1219" s="2"/>
      <c r="G1219" s="705">
        <f>[1]C06!$D$8</f>
        <v>0</v>
      </c>
      <c r="H1219" s="706"/>
      <c r="J1219" s="2"/>
      <c r="K1219" s="705">
        <f>[1]C06!$E$8</f>
        <v>0</v>
      </c>
      <c r="L1219" s="706"/>
      <c r="M1219" s="2"/>
      <c r="N1219" s="2"/>
      <c r="O1219" s="2"/>
      <c r="P1219" s="2"/>
      <c r="Q1219" s="2"/>
      <c r="R1219" s="2"/>
      <c r="S1219" s="2"/>
      <c r="T1219" s="2"/>
      <c r="U1219" s="2"/>
      <c r="V1219" s="2"/>
      <c r="W1219" s="2"/>
      <c r="X1219" s="2"/>
      <c r="Y1219" s="2"/>
      <c r="Z1219" s="2"/>
      <c r="AA1219" s="2"/>
      <c r="AB1219" s="2"/>
      <c r="AC1219" s="2"/>
      <c r="AD1219" s="2"/>
      <c r="AE1219" s="2"/>
      <c r="AF1219" s="2"/>
      <c r="AG1219" s="2"/>
      <c r="AH1219" s="2"/>
      <c r="AI1219" s="2"/>
      <c r="AJ1219" s="2"/>
      <c r="AK1219" s="2"/>
    </row>
    <row r="1220" spans="2:37">
      <c r="B1220" s="49" t="s">
        <v>36</v>
      </c>
      <c r="C1220" s="428">
        <v>7</v>
      </c>
      <c r="D1220" s="400">
        <f>[1]C07!$C$9</f>
        <v>3109</v>
      </c>
      <c r="E1220" s="2"/>
      <c r="G1220" s="671">
        <f>[1]C07!$D$9</f>
        <v>19273</v>
      </c>
      <c r="H1220" s="653"/>
      <c r="J1220" s="2"/>
      <c r="K1220" s="671">
        <f>[1]C07!$E$9</f>
        <v>25769</v>
      </c>
      <c r="L1220" s="653"/>
      <c r="M1220" s="2"/>
      <c r="N1220" s="2"/>
      <c r="O1220" s="2"/>
      <c r="P1220" s="2"/>
      <c r="Q1220" s="2"/>
      <c r="R1220" s="2"/>
      <c r="S1220" s="2"/>
      <c r="T1220" s="2"/>
      <c r="U1220" s="2"/>
      <c r="V1220" s="2"/>
      <c r="W1220" s="2"/>
      <c r="X1220" s="2"/>
      <c r="Y1220" s="2"/>
      <c r="Z1220" s="2"/>
      <c r="AA1220" s="2"/>
      <c r="AB1220" s="2"/>
      <c r="AC1220" s="2"/>
      <c r="AD1220" s="2"/>
      <c r="AE1220" s="2"/>
      <c r="AF1220" s="2"/>
      <c r="AG1220" s="2"/>
      <c r="AH1220" s="2"/>
      <c r="AI1220" s="2"/>
      <c r="AJ1220" s="2"/>
      <c r="AK1220" s="2"/>
    </row>
    <row r="1221" spans="2:37">
      <c r="B1221" s="427" t="s">
        <v>35</v>
      </c>
      <c r="C1221" s="428">
        <v>8</v>
      </c>
      <c r="D1221" s="429">
        <f>[1]C08!$C$9</f>
        <v>71402</v>
      </c>
      <c r="E1221" s="2"/>
      <c r="G1221" s="705">
        <f>[1]C08!$D$9</f>
        <v>30140</v>
      </c>
      <c r="H1221" s="706"/>
      <c r="J1221" s="2"/>
      <c r="K1221" s="705">
        <f>[1]C08!$E$9</f>
        <v>0</v>
      </c>
      <c r="L1221" s="706"/>
      <c r="M1221" s="2"/>
      <c r="N1221" s="2"/>
      <c r="O1221" s="2"/>
      <c r="P1221" s="2"/>
      <c r="Q1221" s="2"/>
      <c r="R1221" s="2"/>
      <c r="S1221" s="2"/>
      <c r="T1221" s="2"/>
      <c r="U1221" s="2"/>
      <c r="V1221" s="2"/>
      <c r="W1221" s="2"/>
      <c r="X1221" s="2"/>
      <c r="Y1221" s="2"/>
      <c r="Z1221" s="2"/>
      <c r="AA1221" s="2"/>
      <c r="AB1221" s="2"/>
      <c r="AC1221" s="2"/>
      <c r="AD1221" s="2"/>
      <c r="AE1221" s="2"/>
      <c r="AF1221" s="2"/>
      <c r="AG1221" s="2"/>
      <c r="AH1221" s="2"/>
      <c r="AI1221" s="2"/>
      <c r="AJ1221" s="2"/>
      <c r="AK1221" s="2"/>
    </row>
    <row r="1222" spans="2:37">
      <c r="B1222" s="49" t="s">
        <v>140</v>
      </c>
      <c r="C1222" s="428"/>
      <c r="D1222" s="400">
        <f>[1]C011!$C$9</f>
        <v>11517</v>
      </c>
      <c r="E1222" s="2"/>
      <c r="G1222" s="671">
        <f>[1]C011!$D$9</f>
        <v>11114</v>
      </c>
      <c r="H1222" s="653"/>
      <c r="J1222" s="2"/>
      <c r="K1222" s="671">
        <f>[1]C011!$E$9</f>
        <v>0</v>
      </c>
      <c r="L1222" s="653"/>
      <c r="M1222" s="2"/>
      <c r="N1222" s="2"/>
      <c r="O1222" s="2"/>
      <c r="P1222" s="2"/>
      <c r="Q1222" s="2"/>
      <c r="R1222" s="2"/>
      <c r="S1222" s="2"/>
      <c r="T1222" s="2"/>
      <c r="U1222" s="2"/>
      <c r="V1222" s="2"/>
      <c r="W1222" s="2"/>
      <c r="X1222" s="2"/>
      <c r="Y1222" s="2"/>
      <c r="Z1222" s="2"/>
      <c r="AA1222" s="2"/>
      <c r="AB1222" s="2"/>
      <c r="AC1222" s="2"/>
      <c r="AD1222" s="2"/>
      <c r="AE1222" s="2"/>
      <c r="AF1222" s="2"/>
      <c r="AG1222" s="2"/>
      <c r="AH1222" s="2"/>
      <c r="AI1222" s="2"/>
      <c r="AJ1222" s="2"/>
      <c r="AK1222" s="2"/>
    </row>
    <row r="1223" spans="2:37">
      <c r="B1223" s="427" t="s">
        <v>277</v>
      </c>
      <c r="C1223" s="428"/>
      <c r="D1223" s="429">
        <f>[1]C013!$C$9</f>
        <v>148046</v>
      </c>
      <c r="E1223" s="2"/>
      <c r="G1223" s="705">
        <f>[1]C013!$D$9</f>
        <v>216173</v>
      </c>
      <c r="H1223" s="706"/>
      <c r="J1223" s="2"/>
      <c r="K1223" s="705">
        <f>[1]C013!$E$9</f>
        <v>118243</v>
      </c>
      <c r="L1223" s="706"/>
      <c r="M1223" s="430"/>
      <c r="N1223" s="2"/>
      <c r="O1223" s="2"/>
      <c r="P1223" s="2"/>
      <c r="Q1223" s="2"/>
      <c r="R1223" s="2"/>
      <c r="S1223" s="2"/>
      <c r="T1223" s="2"/>
      <c r="U1223" s="2"/>
      <c r="V1223" s="2"/>
      <c r="AA1223" s="2"/>
      <c r="AB1223" s="2"/>
      <c r="AC1223" s="2"/>
      <c r="AD1223" s="2"/>
      <c r="AE1223" s="2"/>
      <c r="AF1223" s="2"/>
      <c r="AG1223" s="2"/>
      <c r="AH1223" s="2"/>
      <c r="AI1223" s="2"/>
      <c r="AJ1223" s="2"/>
      <c r="AK1223" s="2"/>
    </row>
    <row r="1224" spans="2:37">
      <c r="B1224" s="49" t="s">
        <v>39</v>
      </c>
      <c r="C1224" s="337">
        <v>14</v>
      </c>
      <c r="D1224" s="400">
        <f>[1]C014!$C$9</f>
        <v>7243</v>
      </c>
      <c r="E1224" s="2"/>
      <c r="G1224" s="671">
        <f>[1]C014!$D$9</f>
        <v>5305</v>
      </c>
      <c r="H1224" s="653"/>
      <c r="J1224" s="2"/>
      <c r="K1224" s="671">
        <f>[1]C014!$E$9</f>
        <v>7995</v>
      </c>
      <c r="L1224" s="653"/>
      <c r="M1224" s="2"/>
      <c r="N1224" s="2"/>
      <c r="O1224" s="2"/>
      <c r="P1224" s="2"/>
      <c r="Q1224" s="2"/>
      <c r="R1224" s="2"/>
      <c r="S1224" s="2"/>
      <c r="T1224" s="2"/>
      <c r="U1224" s="2"/>
      <c r="V1224" s="2"/>
      <c r="AA1224" s="2"/>
      <c r="AB1224" s="2"/>
      <c r="AC1224" s="2"/>
      <c r="AD1224" s="2"/>
      <c r="AE1224" s="2"/>
      <c r="AF1224" s="2"/>
      <c r="AG1224" s="2"/>
      <c r="AH1224" s="2"/>
      <c r="AI1224" s="2"/>
      <c r="AJ1224" s="2"/>
      <c r="AK1224" s="2"/>
    </row>
    <row r="1225" spans="2:37">
      <c r="B1225" s="427" t="s">
        <v>40</v>
      </c>
      <c r="C1225" s="337"/>
      <c r="D1225" s="429">
        <f>[1]C015!$C$9</f>
        <v>0</v>
      </c>
      <c r="E1225" s="2"/>
      <c r="G1225" s="705">
        <f>[1]C015!$D$9</f>
        <v>0</v>
      </c>
      <c r="H1225" s="706"/>
      <c r="J1225" s="2"/>
      <c r="K1225" s="705">
        <f>[1]C015!$E$9</f>
        <v>0</v>
      </c>
      <c r="L1225" s="706"/>
      <c r="M1225" s="2"/>
      <c r="N1225" s="2"/>
      <c r="O1225" s="2"/>
      <c r="P1225" s="2"/>
      <c r="Q1225" s="2"/>
      <c r="R1225" s="2"/>
      <c r="S1225" s="2"/>
      <c r="T1225" s="2"/>
      <c r="U1225" s="2"/>
      <c r="V1225" s="2"/>
      <c r="AA1225" s="2"/>
      <c r="AB1225" s="2"/>
      <c r="AC1225" s="2"/>
      <c r="AD1225" s="2"/>
      <c r="AE1225" s="2"/>
      <c r="AF1225" s="2"/>
      <c r="AG1225" s="2"/>
      <c r="AH1225" s="2"/>
      <c r="AI1225" s="2"/>
      <c r="AJ1225" s="2"/>
      <c r="AK1225" s="2"/>
    </row>
    <row r="1226" spans="2:37">
      <c r="B1226" s="49" t="s">
        <v>41</v>
      </c>
      <c r="C1226" s="337">
        <v>16</v>
      </c>
      <c r="D1226" s="400">
        <f>[1]C016!$C$9</f>
        <v>431022</v>
      </c>
      <c r="E1226" s="2"/>
      <c r="G1226" s="671">
        <f>[1]C016!$D$9</f>
        <v>568624</v>
      </c>
      <c r="H1226" s="653"/>
      <c r="J1226" s="2"/>
      <c r="K1226" s="671">
        <f>[1]C016!$E$9</f>
        <v>575323</v>
      </c>
      <c r="L1226" s="653"/>
      <c r="M1226" s="2"/>
      <c r="N1226" s="2"/>
      <c r="O1226" s="167"/>
      <c r="P1226" s="2"/>
      <c r="Q1226" s="2"/>
      <c r="R1226" s="2"/>
      <c r="S1226" s="2"/>
      <c r="T1226" s="2"/>
      <c r="U1226" s="2"/>
      <c r="V1226" s="2"/>
      <c r="W1226" s="2"/>
      <c r="X1226" s="2"/>
      <c r="Y1226" s="2"/>
      <c r="Z1226" s="2"/>
      <c r="AA1226" s="2"/>
      <c r="AB1226" s="2"/>
      <c r="AC1226" s="2"/>
      <c r="AD1226" s="2"/>
      <c r="AE1226" s="2"/>
      <c r="AF1226" s="2"/>
      <c r="AG1226" s="2"/>
      <c r="AH1226" s="2"/>
      <c r="AI1226" s="2"/>
      <c r="AJ1226" s="2"/>
      <c r="AK1226" s="2"/>
    </row>
    <row r="1227" spans="2:37">
      <c r="B1227" s="427" t="s">
        <v>70</v>
      </c>
      <c r="C1227" s="337">
        <v>18</v>
      </c>
      <c r="D1227" s="429">
        <f>[1]C018!$C$9</f>
        <v>0</v>
      </c>
      <c r="E1227" s="2"/>
      <c r="G1227" s="705">
        <f>[1]C018!$D$9</f>
        <v>0</v>
      </c>
      <c r="H1227" s="706"/>
      <c r="J1227" s="2"/>
      <c r="K1227" s="705">
        <f>[1]C018!$E$9</f>
        <v>0</v>
      </c>
      <c r="L1227" s="706"/>
      <c r="M1227" s="2"/>
      <c r="N1227" s="2"/>
      <c r="O1227" s="2"/>
      <c r="P1227" s="2"/>
      <c r="Q1227" s="2"/>
      <c r="R1227" s="2"/>
      <c r="S1227" s="2"/>
      <c r="T1227" s="2"/>
      <c r="U1227" s="2"/>
      <c r="V1227" s="2"/>
      <c r="W1227" s="2"/>
      <c r="X1227" s="2"/>
      <c r="Y1227" s="2"/>
      <c r="Z1227" s="2"/>
      <c r="AA1227" s="2"/>
      <c r="AB1227" s="2"/>
      <c r="AC1227" s="2"/>
      <c r="AD1227" s="2"/>
      <c r="AE1227" s="2"/>
      <c r="AF1227" s="2"/>
      <c r="AG1227" s="2"/>
      <c r="AH1227" s="2"/>
      <c r="AI1227" s="2"/>
      <c r="AJ1227" s="2"/>
      <c r="AK1227" s="2"/>
    </row>
    <row r="1228" spans="2:37">
      <c r="B1228" s="49" t="s">
        <v>43</v>
      </c>
      <c r="C1228" s="337"/>
      <c r="D1228" s="400">
        <f>[1]C019!$C$9</f>
        <v>0</v>
      </c>
      <c r="E1228" s="2"/>
      <c r="G1228" s="671">
        <f>[1]C019!$D$9</f>
        <v>0</v>
      </c>
      <c r="H1228" s="653"/>
      <c r="J1228" s="2"/>
      <c r="K1228" s="671">
        <f>[1]C019!$E$9</f>
        <v>0</v>
      </c>
      <c r="L1228" s="653"/>
      <c r="M1228" s="2"/>
      <c r="N1228" s="2"/>
      <c r="O1228" s="2"/>
      <c r="P1228" s="2"/>
      <c r="Q1228" s="2"/>
      <c r="R1228" s="2"/>
      <c r="S1228" s="2"/>
      <c r="T1228" s="2"/>
      <c r="U1228" s="2"/>
      <c r="V1228" s="2"/>
      <c r="W1228" s="2"/>
      <c r="X1228" s="2"/>
      <c r="Y1228" s="2"/>
      <c r="Z1228" s="2"/>
      <c r="AA1228" s="2"/>
      <c r="AB1228" s="2"/>
      <c r="AC1228" s="2"/>
      <c r="AD1228" s="2"/>
      <c r="AE1228" s="2"/>
      <c r="AF1228" s="2"/>
      <c r="AG1228" s="2"/>
      <c r="AH1228" s="2"/>
      <c r="AI1228" s="2"/>
      <c r="AJ1228" s="2"/>
      <c r="AK1228" s="2"/>
    </row>
    <row r="1229" spans="2:37">
      <c r="B1229" s="427" t="s">
        <v>44</v>
      </c>
      <c r="C1229" s="337">
        <v>22</v>
      </c>
      <c r="D1229" s="429">
        <f>[1]C022!$C$9</f>
        <v>0</v>
      </c>
      <c r="E1229" s="2"/>
      <c r="G1229" s="705">
        <f>[1]C022!$D$9</f>
        <v>0</v>
      </c>
      <c r="H1229" s="706"/>
      <c r="J1229" s="2"/>
      <c r="K1229" s="705">
        <f>[1]C022!$E$9</f>
        <v>0</v>
      </c>
      <c r="L1229" s="706"/>
      <c r="M1229" s="2"/>
      <c r="N1229" s="2"/>
      <c r="O1229" s="2"/>
      <c r="P1229" s="2"/>
      <c r="Q1229" s="2"/>
      <c r="R1229" s="2"/>
      <c r="S1229" s="2"/>
      <c r="T1229" s="2"/>
      <c r="U1229" s="2"/>
      <c r="V1229" s="2"/>
      <c r="W1229" s="2"/>
      <c r="X1229" s="2"/>
      <c r="Y1229" s="2"/>
      <c r="Z1229" s="2"/>
      <c r="AA1229" s="2"/>
      <c r="AB1229" s="2"/>
      <c r="AC1229" s="2"/>
      <c r="AD1229" s="2"/>
      <c r="AE1229" s="2"/>
      <c r="AF1229" s="2"/>
      <c r="AG1229" s="2"/>
      <c r="AH1229" s="2"/>
      <c r="AI1229" s="2"/>
      <c r="AJ1229" s="2"/>
      <c r="AK1229" s="2"/>
    </row>
    <row r="1230" spans="2:37">
      <c r="B1230" s="49" t="s">
        <v>45</v>
      </c>
      <c r="C1230" s="337">
        <v>24</v>
      </c>
      <c r="D1230" s="400">
        <f>[1]C024!$C$9</f>
        <v>58894</v>
      </c>
      <c r="E1230" s="2"/>
      <c r="G1230" s="671">
        <f>[1]C024!$D$9</f>
        <v>45132</v>
      </c>
      <c r="H1230" s="653"/>
      <c r="J1230" s="2"/>
      <c r="K1230" s="671">
        <f>[1]C024!$E$9</f>
        <v>66931</v>
      </c>
      <c r="L1230" s="653"/>
      <c r="M1230" s="2"/>
      <c r="N1230" s="2"/>
      <c r="O1230" s="2"/>
      <c r="P1230" s="2"/>
      <c r="Q1230" s="2"/>
      <c r="R1230" s="2"/>
      <c r="S1230" s="2"/>
      <c r="T1230" s="2"/>
      <c r="U1230" s="2"/>
      <c r="V1230" s="2"/>
      <c r="W1230" s="431"/>
      <c r="X1230" s="315"/>
      <c r="Y1230" s="2"/>
      <c r="Z1230" s="2"/>
      <c r="AA1230" s="2"/>
      <c r="AB1230" s="2"/>
      <c r="AC1230" s="2"/>
      <c r="AD1230" s="2"/>
      <c r="AE1230" s="2"/>
      <c r="AF1230" s="2"/>
      <c r="AG1230" s="2"/>
      <c r="AH1230" s="2"/>
      <c r="AI1230" s="2"/>
      <c r="AJ1230" s="2"/>
      <c r="AK1230" s="2"/>
    </row>
    <row r="1231" spans="2:37">
      <c r="B1231" s="427" t="s">
        <v>46</v>
      </c>
      <c r="C1231" s="337">
        <v>26</v>
      </c>
      <c r="D1231" s="429">
        <f>[1]C026!$C$9</f>
        <v>19192</v>
      </c>
      <c r="E1231" s="2"/>
      <c r="G1231" s="705">
        <f>[1]C026!$D$9</f>
        <v>18124</v>
      </c>
      <c r="H1231" s="706"/>
      <c r="J1231" s="2"/>
      <c r="K1231" s="705">
        <f>[1]C026!$E$9</f>
        <v>20268</v>
      </c>
      <c r="L1231" s="706"/>
      <c r="M1231" s="2"/>
      <c r="N1231" s="2"/>
      <c r="O1231" s="2"/>
      <c r="P1231" s="2"/>
      <c r="Q1231" s="2"/>
      <c r="R1231" s="2"/>
      <c r="S1231" s="2"/>
      <c r="T1231" s="2"/>
      <c r="U1231" s="2"/>
      <c r="V1231" s="2"/>
      <c r="W1231" s="431"/>
      <c r="X1231" s="315"/>
      <c r="Y1231" s="2"/>
      <c r="Z1231" s="2"/>
      <c r="AA1231" s="2"/>
      <c r="AB1231" s="2"/>
      <c r="AC1231" s="2"/>
      <c r="AD1231" s="2"/>
      <c r="AE1231" s="2"/>
      <c r="AF1231" s="2"/>
      <c r="AG1231" s="2"/>
      <c r="AH1231" s="2"/>
      <c r="AI1231" s="2"/>
      <c r="AJ1231" s="2"/>
      <c r="AK1231" s="2"/>
    </row>
    <row r="1232" spans="2:37">
      <c r="B1232" s="49" t="s">
        <v>47</v>
      </c>
      <c r="C1232" s="337">
        <v>28</v>
      </c>
      <c r="D1232" s="400">
        <f>[1]C028!$C$9</f>
        <v>0</v>
      </c>
      <c r="E1232" s="2"/>
      <c r="G1232" s="671">
        <f>[1]C028!$D$9</f>
        <v>0</v>
      </c>
      <c r="H1232" s="653"/>
      <c r="J1232" s="2"/>
      <c r="K1232" s="671">
        <f>[1]C028!$E$9</f>
        <v>0</v>
      </c>
      <c r="L1232" s="653"/>
      <c r="M1232" s="2"/>
      <c r="N1232" s="2"/>
      <c r="O1232" s="2"/>
      <c r="P1232" s="2"/>
      <c r="Q1232" s="2"/>
      <c r="R1232" s="2"/>
      <c r="S1232" s="2"/>
      <c r="T1232" s="2"/>
      <c r="U1232" s="2"/>
      <c r="V1232" s="2"/>
      <c r="W1232" s="431"/>
      <c r="X1232" s="315"/>
      <c r="Y1232" s="2"/>
      <c r="Z1232" s="2"/>
      <c r="AA1232" s="2"/>
      <c r="AB1232" s="2"/>
      <c r="AC1232" s="2"/>
      <c r="AD1232" s="2"/>
      <c r="AE1232" s="2"/>
      <c r="AF1232" s="2"/>
      <c r="AG1232" s="2"/>
      <c r="AH1232" s="2"/>
      <c r="AI1232" s="2"/>
      <c r="AJ1232" s="2"/>
      <c r="AK1232" s="2"/>
    </row>
    <row r="1233" spans="2:37">
      <c r="B1233" s="427" t="s">
        <v>48</v>
      </c>
      <c r="C1233" s="337">
        <v>29</v>
      </c>
      <c r="D1233" s="429">
        <f>[1]C029!$C$9</f>
        <v>0</v>
      </c>
      <c r="E1233" s="2"/>
      <c r="G1233" s="705">
        <f>[1]C029!$D$9</f>
        <v>0</v>
      </c>
      <c r="H1233" s="706"/>
      <c r="J1233" s="2"/>
      <c r="K1233" s="705">
        <f>[1]C029!$E$9</f>
        <v>0</v>
      </c>
      <c r="L1233" s="706"/>
      <c r="M1233" s="2"/>
      <c r="N1233" s="2"/>
      <c r="O1233" s="2"/>
      <c r="P1233" s="2"/>
      <c r="Q1233" s="2"/>
      <c r="R1233" s="2"/>
      <c r="S1233" s="2"/>
      <c r="T1233" s="2"/>
      <c r="U1233" s="2"/>
      <c r="V1233" s="2"/>
      <c r="W1233" s="431"/>
      <c r="X1233" s="315"/>
      <c r="Y1233" s="2"/>
      <c r="Z1233" s="2"/>
      <c r="AA1233" s="2"/>
      <c r="AB1233" s="2"/>
      <c r="AC1233" s="2"/>
      <c r="AD1233" s="2"/>
      <c r="AE1233" s="2"/>
      <c r="AF1233" s="2"/>
      <c r="AG1233" s="2"/>
      <c r="AH1233" s="2"/>
      <c r="AI1233" s="2"/>
      <c r="AJ1233" s="2"/>
      <c r="AK1233" s="2"/>
    </row>
    <row r="1234" spans="2:37">
      <c r="B1234" s="49" t="s">
        <v>37</v>
      </c>
      <c r="C1234" s="337">
        <v>30</v>
      </c>
      <c r="D1234" s="400">
        <f>[1]C030!$C$9</f>
        <v>83914</v>
      </c>
      <c r="E1234" s="2"/>
      <c r="G1234" s="671">
        <f>[1]C030!$D$9</f>
        <v>53678</v>
      </c>
      <c r="H1234" s="653"/>
      <c r="J1234" s="2"/>
      <c r="K1234" s="671">
        <f>[1]C030!$E$9</f>
        <v>151300</v>
      </c>
      <c r="L1234" s="653"/>
      <c r="M1234" s="2"/>
      <c r="N1234" s="2"/>
      <c r="O1234" s="2"/>
      <c r="P1234" s="2"/>
      <c r="Q1234" s="2"/>
      <c r="R1234" s="2"/>
      <c r="S1234" s="2"/>
      <c r="T1234" s="2"/>
      <c r="U1234" s="2"/>
      <c r="V1234" s="2"/>
      <c r="W1234" s="431"/>
      <c r="X1234" s="315"/>
      <c r="Y1234" s="2"/>
      <c r="Z1234" s="2"/>
      <c r="AA1234" s="2"/>
      <c r="AB1234" s="2"/>
      <c r="AC1234" s="2"/>
      <c r="AD1234" s="2"/>
      <c r="AE1234" s="2"/>
      <c r="AF1234" s="2"/>
      <c r="AG1234" s="2"/>
      <c r="AH1234" s="2"/>
      <c r="AI1234" s="2"/>
      <c r="AJ1234" s="2"/>
      <c r="AK1234" s="2"/>
    </row>
    <row r="1235" spans="2:37">
      <c r="B1235" s="427" t="s">
        <v>49</v>
      </c>
      <c r="C1235" s="337"/>
      <c r="D1235" s="429">
        <f>[1]C033!$C$9</f>
        <v>0</v>
      </c>
      <c r="E1235" s="2"/>
      <c r="G1235" s="705">
        <f>[1]C033!$D$9</f>
        <v>0</v>
      </c>
      <c r="H1235" s="706"/>
      <c r="J1235" s="2"/>
      <c r="K1235" s="705">
        <f>[1]C033!$E$9</f>
        <v>0</v>
      </c>
      <c r="L1235" s="706"/>
      <c r="M1235" s="2"/>
      <c r="N1235" s="2"/>
      <c r="O1235" s="2"/>
      <c r="P1235" s="2"/>
      <c r="Q1235" s="2"/>
      <c r="R1235" s="2"/>
      <c r="S1235" s="2"/>
      <c r="T1235" s="2"/>
      <c r="U1235" s="2"/>
      <c r="V1235" s="2"/>
      <c r="W1235" s="431"/>
      <c r="X1235" s="315"/>
      <c r="Y1235" s="2"/>
      <c r="Z1235" s="2"/>
      <c r="AA1235" s="2"/>
      <c r="AB1235" s="2"/>
      <c r="AC1235" s="2"/>
      <c r="AD1235" s="2"/>
      <c r="AE1235" s="2"/>
      <c r="AF1235" s="2"/>
      <c r="AG1235" s="2"/>
      <c r="AH1235" s="2"/>
      <c r="AI1235" s="2"/>
      <c r="AJ1235" s="2"/>
      <c r="AK1235" s="2"/>
    </row>
    <row r="1236" spans="2:37">
      <c r="B1236" s="49" t="s">
        <v>136</v>
      </c>
      <c r="C1236" s="337">
        <v>34</v>
      </c>
      <c r="D1236" s="400">
        <f>[1]C034!$C$9</f>
        <v>0</v>
      </c>
      <c r="E1236" s="2"/>
      <c r="G1236" s="671">
        <f>[1]C034!$D$9</f>
        <v>0</v>
      </c>
      <c r="H1236" s="653"/>
      <c r="J1236" s="2"/>
      <c r="K1236" s="671">
        <f>[1]C034!$E$9</f>
        <v>0</v>
      </c>
      <c r="L1236" s="653"/>
      <c r="M1236" s="2"/>
      <c r="N1236" s="2"/>
      <c r="O1236" s="2"/>
      <c r="P1236" s="2"/>
      <c r="Q1236" s="2"/>
      <c r="R1236" s="2"/>
      <c r="S1236" s="2"/>
      <c r="T1236" s="2"/>
      <c r="U1236" s="2"/>
      <c r="V1236" s="2"/>
      <c r="W1236" s="431"/>
      <c r="X1236" s="315"/>
      <c r="Y1236" s="2"/>
      <c r="Z1236" s="2"/>
      <c r="AA1236" s="2"/>
      <c r="AB1236" s="2"/>
      <c r="AC1236" s="2"/>
      <c r="AD1236" s="2"/>
      <c r="AE1236" s="2"/>
      <c r="AF1236" s="2"/>
      <c r="AG1236" s="2"/>
      <c r="AH1236" s="2"/>
      <c r="AI1236" s="2"/>
      <c r="AJ1236" s="2"/>
      <c r="AK1236" s="2"/>
    </row>
    <row r="1237" spans="2:37" ht="15.75">
      <c r="B1237" s="427" t="s">
        <v>178</v>
      </c>
      <c r="C1237" s="337">
        <v>35</v>
      </c>
      <c r="D1237" s="429">
        <f>[1]C035!$C$9</f>
        <v>29059</v>
      </c>
      <c r="E1237" s="2"/>
      <c r="G1237" s="705">
        <f>[1]C035!$D$9</f>
        <v>47620</v>
      </c>
      <c r="H1237" s="706"/>
      <c r="J1237" s="2"/>
      <c r="K1237" s="705">
        <f>[1]C035!$E$9</f>
        <v>50022</v>
      </c>
      <c r="L1237" s="706"/>
      <c r="M1237" s="2"/>
      <c r="N1237" s="2"/>
      <c r="O1237" s="2"/>
      <c r="P1237" s="2"/>
      <c r="Q1237" s="2"/>
      <c r="R1237" s="2"/>
      <c r="S1237" s="2"/>
      <c r="T1237" s="2"/>
      <c r="U1237" s="2"/>
      <c r="V1237" s="2"/>
      <c r="W1237" s="431"/>
      <c r="X1237" s="315"/>
      <c r="Y1237" s="2"/>
      <c r="Z1237" s="2"/>
      <c r="AA1237" s="2"/>
      <c r="AB1237" s="2"/>
      <c r="AC1237" s="2"/>
      <c r="AD1237" s="2"/>
      <c r="AE1237" s="2"/>
      <c r="AF1237" s="2"/>
      <c r="AG1237" s="2"/>
      <c r="AH1237" s="2"/>
      <c r="AI1237" s="2"/>
      <c r="AJ1237" s="2"/>
      <c r="AK1237" s="2"/>
    </row>
    <row r="1238" spans="2:37">
      <c r="B1238" s="1" t="s">
        <v>71</v>
      </c>
      <c r="C1238" s="337">
        <v>42</v>
      </c>
      <c r="D1238" s="400">
        <f>[1]C042!$C$9</f>
        <v>0</v>
      </c>
      <c r="E1238" s="2"/>
      <c r="G1238" s="671">
        <f>[1]C042!$D$9</f>
        <v>0</v>
      </c>
      <c r="H1238" s="653"/>
      <c r="J1238" s="2"/>
      <c r="K1238" s="671">
        <f>[1]C042!$E$9</f>
        <v>0</v>
      </c>
      <c r="L1238" s="653"/>
      <c r="M1238" s="2"/>
      <c r="N1238" s="2"/>
      <c r="O1238" s="2"/>
      <c r="P1238" s="2"/>
      <c r="Q1238" s="2"/>
      <c r="R1238" s="2"/>
      <c r="S1238" s="2"/>
      <c r="T1238" s="2"/>
      <c r="U1238" s="2"/>
      <c r="V1238" s="2"/>
      <c r="W1238" s="431"/>
      <c r="X1238" s="315"/>
      <c r="Y1238" s="2"/>
      <c r="Z1238" s="2"/>
      <c r="AA1238" s="2"/>
      <c r="AB1238" s="2"/>
      <c r="AC1238" s="2"/>
      <c r="AD1238" s="2"/>
      <c r="AE1238" s="2"/>
      <c r="AF1238" s="2"/>
      <c r="AG1238" s="2"/>
      <c r="AH1238" s="2"/>
      <c r="AI1238" s="2"/>
      <c r="AJ1238" s="2"/>
      <c r="AK1238" s="2"/>
    </row>
    <row r="1239" spans="2:37">
      <c r="B1239" s="257" t="s">
        <v>51</v>
      </c>
      <c r="C1239" s="337">
        <v>44</v>
      </c>
      <c r="D1239" s="429">
        <f>[1]C044!$C$9</f>
        <v>0</v>
      </c>
      <c r="E1239" s="2"/>
      <c r="G1239" s="705">
        <f>[1]C044!$D$9</f>
        <v>0</v>
      </c>
      <c r="H1239" s="706"/>
      <c r="J1239" s="2"/>
      <c r="K1239" s="705">
        <f>[1]C044!$E$9</f>
        <v>0</v>
      </c>
      <c r="L1239" s="706"/>
      <c r="M1239" s="2"/>
      <c r="N1239" s="2"/>
      <c r="O1239" s="2"/>
      <c r="P1239" s="2"/>
      <c r="Q1239" s="2"/>
      <c r="R1239" s="2"/>
      <c r="S1239" s="2"/>
      <c r="T1239" s="2"/>
      <c r="U1239" s="2"/>
      <c r="V1239" s="2"/>
      <c r="W1239" s="431"/>
      <c r="X1239" s="315"/>
      <c r="Y1239" s="2"/>
      <c r="Z1239" s="2"/>
      <c r="AA1239" s="2"/>
      <c r="AB1239" s="2"/>
      <c r="AC1239" s="2"/>
      <c r="AD1239" s="2"/>
      <c r="AE1239" s="2"/>
      <c r="AF1239" s="2"/>
      <c r="AG1239" s="2"/>
      <c r="AH1239" s="2"/>
      <c r="AI1239" s="2"/>
      <c r="AJ1239" s="2"/>
      <c r="AK1239" s="2"/>
    </row>
    <row r="1240" spans="2:37">
      <c r="B1240" s="1" t="s">
        <v>52</v>
      </c>
      <c r="C1240" s="337">
        <v>45</v>
      </c>
      <c r="D1240" s="400">
        <f>[1]C045!$C$9</f>
        <v>0</v>
      </c>
      <c r="E1240" s="2"/>
      <c r="G1240" s="671">
        <f>[1]C045!$D$9</f>
        <v>0</v>
      </c>
      <c r="H1240" s="653"/>
      <c r="J1240" s="2"/>
      <c r="K1240" s="671">
        <f>[1]C045!$E$9</f>
        <v>0</v>
      </c>
      <c r="L1240" s="653"/>
      <c r="M1240" s="2"/>
      <c r="N1240" s="2"/>
      <c r="S1240" s="2"/>
      <c r="T1240" s="2"/>
      <c r="U1240" s="2"/>
      <c r="V1240" s="2"/>
      <c r="W1240" s="431"/>
      <c r="X1240" s="315"/>
      <c r="Y1240" s="2"/>
      <c r="Z1240" s="2"/>
      <c r="AA1240" s="2"/>
      <c r="AB1240" s="2"/>
      <c r="AC1240" s="2"/>
      <c r="AD1240" s="2"/>
      <c r="AE1240" s="2"/>
      <c r="AF1240" s="2"/>
      <c r="AG1240" s="2"/>
      <c r="AH1240" s="2"/>
      <c r="AI1240" s="2"/>
      <c r="AJ1240" s="2"/>
      <c r="AK1240" s="2"/>
    </row>
    <row r="1241" spans="2:37">
      <c r="B1241" s="257" t="s">
        <v>72</v>
      </c>
      <c r="C1241" s="337">
        <v>46</v>
      </c>
      <c r="D1241" s="429">
        <f>[1]C047!$C$9</f>
        <v>0</v>
      </c>
      <c r="E1241" s="2"/>
      <c r="G1241" s="705">
        <f>[1]C047!$D$9</f>
        <v>0</v>
      </c>
      <c r="H1241" s="706"/>
      <c r="J1241" s="2"/>
      <c r="K1241" s="705">
        <f>[1]C047!$D$47</f>
        <v>0</v>
      </c>
      <c r="L1241" s="706"/>
      <c r="M1241" s="2"/>
      <c r="N1241" s="2"/>
      <c r="S1241" s="2"/>
      <c r="T1241" s="2"/>
      <c r="U1241" s="2"/>
      <c r="V1241" s="2"/>
      <c r="W1241" s="431"/>
      <c r="X1241" s="315"/>
      <c r="Y1241" s="2"/>
      <c r="Z1241" s="2"/>
      <c r="AA1241" s="2"/>
      <c r="AB1241" s="2"/>
      <c r="AC1241" s="2"/>
      <c r="AD1241" s="2"/>
      <c r="AE1241" s="2"/>
      <c r="AF1241" s="2"/>
      <c r="AG1241" s="2"/>
      <c r="AH1241" s="2"/>
      <c r="AI1241" s="2"/>
      <c r="AJ1241" s="2"/>
      <c r="AK1241" s="2"/>
    </row>
    <row r="1242" spans="2:37">
      <c r="B1242" s="1" t="s">
        <v>54</v>
      </c>
      <c r="C1242" s="337"/>
      <c r="D1242" s="432">
        <v>0</v>
      </c>
      <c r="E1242" s="2"/>
      <c r="G1242" s="652">
        <v>0</v>
      </c>
      <c r="H1242" s="653"/>
      <c r="J1242" s="2"/>
      <c r="K1242" s="652">
        <v>0</v>
      </c>
      <c r="L1242" s="653"/>
      <c r="M1242" s="2"/>
      <c r="N1242" s="2"/>
      <c r="S1242" s="2"/>
      <c r="T1242" s="2"/>
      <c r="U1242" s="2"/>
      <c r="V1242" s="2"/>
      <c r="W1242" s="431"/>
      <c r="X1242" s="315"/>
      <c r="Y1242" s="2"/>
      <c r="Z1242" s="2"/>
      <c r="AA1242" s="2"/>
      <c r="AB1242" s="2"/>
      <c r="AC1242" s="2"/>
      <c r="AD1242" s="2"/>
      <c r="AE1242" s="2"/>
      <c r="AF1242" s="2"/>
      <c r="AG1242" s="2"/>
      <c r="AH1242" s="2"/>
      <c r="AI1242" s="2"/>
      <c r="AJ1242" s="2"/>
      <c r="AK1242" s="2"/>
    </row>
    <row r="1243" spans="2:37">
      <c r="B1243" s="257" t="s">
        <v>55</v>
      </c>
      <c r="C1243" s="337">
        <v>53</v>
      </c>
      <c r="D1243" s="429">
        <f>[1]C053!$C$9</f>
        <v>639334</v>
      </c>
      <c r="E1243" s="2"/>
      <c r="G1243" s="705">
        <f>[1]C053!$D$9</f>
        <v>880374</v>
      </c>
      <c r="H1243" s="706"/>
      <c r="J1243" s="2"/>
      <c r="K1243" s="705">
        <f>[1]C053!$D$17</f>
        <v>0</v>
      </c>
      <c r="L1243" s="706"/>
      <c r="M1243" s="2"/>
      <c r="N1243" s="2"/>
      <c r="O1243" s="2"/>
      <c r="P1243" s="2"/>
      <c r="Q1243" s="2"/>
      <c r="R1243" s="2"/>
      <c r="S1243" s="2"/>
      <c r="T1243" s="2"/>
      <c r="U1243" s="2"/>
      <c r="V1243" s="2"/>
      <c r="W1243" s="431"/>
      <c r="X1243" s="315"/>
      <c r="Y1243" s="2"/>
      <c r="Z1243" s="2"/>
      <c r="AA1243" s="2"/>
      <c r="AB1243" s="2"/>
      <c r="AC1243" s="2"/>
      <c r="AD1243" s="2"/>
      <c r="AE1243" s="2"/>
      <c r="AF1243" s="2"/>
      <c r="AG1243" s="2"/>
      <c r="AH1243" s="2"/>
      <c r="AI1243" s="2"/>
      <c r="AJ1243" s="2"/>
      <c r="AK1243" s="2"/>
    </row>
    <row r="1244" spans="2:37">
      <c r="B1244" s="1" t="s">
        <v>56</v>
      </c>
      <c r="C1244" s="337">
        <v>54</v>
      </c>
      <c r="D1244" s="400">
        <f>[1]C055!$C$9</f>
        <v>4891</v>
      </c>
      <c r="E1244" s="2"/>
      <c r="G1244" s="671">
        <f>[1]C055!$D$9</f>
        <v>4674</v>
      </c>
      <c r="H1244" s="653"/>
      <c r="J1244" s="2"/>
      <c r="K1244" s="671">
        <f>[1]C055!$D$42</f>
        <v>0</v>
      </c>
      <c r="L1244" s="653"/>
      <c r="M1244" s="2"/>
      <c r="N1244" s="2"/>
      <c r="O1244" s="2"/>
      <c r="P1244" s="2"/>
      <c r="Q1244" s="2"/>
      <c r="R1244" s="2"/>
      <c r="S1244" s="2"/>
      <c r="T1244" s="2"/>
      <c r="U1244" s="2"/>
      <c r="V1244" s="2"/>
      <c r="W1244" s="2"/>
      <c r="X1244" s="2"/>
      <c r="Y1244" s="2"/>
      <c r="Z1244" s="2"/>
      <c r="AA1244" s="2"/>
      <c r="AB1244" s="2"/>
      <c r="AC1244" s="2"/>
      <c r="AD1244" s="2"/>
      <c r="AE1244" s="2"/>
      <c r="AF1244" s="2"/>
      <c r="AG1244" s="2"/>
      <c r="AH1244" s="2"/>
      <c r="AI1244" s="2"/>
      <c r="AJ1244" s="2"/>
      <c r="AK1244" s="2"/>
    </row>
    <row r="1245" spans="2:37">
      <c r="B1245" s="257" t="s">
        <v>57</v>
      </c>
      <c r="C1245" s="337"/>
      <c r="D1245" s="429">
        <f>[1]C056!$C$9</f>
        <v>36468</v>
      </c>
      <c r="E1245" s="2"/>
      <c r="G1245" s="705">
        <f>[1]C056!$D$9</f>
        <v>31831</v>
      </c>
      <c r="H1245" s="706"/>
      <c r="J1245" s="2"/>
      <c r="K1245" s="705">
        <f>[1]C056!$E$9</f>
        <v>0</v>
      </c>
      <c r="L1245" s="706"/>
      <c r="M1245" s="2"/>
      <c r="N1245" s="2"/>
      <c r="O1245" s="2"/>
      <c r="P1245" s="2"/>
      <c r="Q1245" s="2"/>
      <c r="R1245" s="2"/>
      <c r="S1245" s="2"/>
      <c r="T1245" s="2"/>
      <c r="U1245" s="2"/>
      <c r="V1245" s="2"/>
      <c r="W1245" s="2"/>
      <c r="X1245" s="2"/>
      <c r="Y1245" s="2"/>
      <c r="Z1245" s="2"/>
      <c r="AA1245" s="2"/>
      <c r="AB1245" s="2"/>
      <c r="AC1245" s="2"/>
      <c r="AD1245" s="2"/>
      <c r="AE1245" s="2"/>
      <c r="AF1245" s="2"/>
      <c r="AG1245" s="2"/>
      <c r="AH1245" s="2"/>
      <c r="AI1245" s="2"/>
      <c r="AJ1245" s="2"/>
      <c r="AK1245" s="2"/>
    </row>
    <row r="1246" spans="2:37">
      <c r="B1246" s="370" t="str">
        <f>B1118</f>
        <v>Bond and Interest #1</v>
      </c>
      <c r="C1246" s="337">
        <v>62</v>
      </c>
      <c r="D1246" s="400">
        <f>[1]C062!$C$9</f>
        <v>274620</v>
      </c>
      <c r="E1246" s="2"/>
      <c r="G1246" s="671">
        <f>[1]C062!$D$9</f>
        <v>290585</v>
      </c>
      <c r="H1246" s="653"/>
      <c r="J1246" s="2"/>
      <c r="K1246" s="671">
        <f>[1]C062!$E$9</f>
        <v>301494</v>
      </c>
      <c r="L1246" s="653"/>
      <c r="M1246" s="2"/>
      <c r="N1246" s="2"/>
      <c r="O1246" s="2"/>
      <c r="P1246" s="2"/>
      <c r="Q1246" s="2"/>
      <c r="R1246" s="2"/>
      <c r="S1246" s="2"/>
      <c r="T1246" s="2"/>
      <c r="U1246" s="2"/>
      <c r="V1246" s="2"/>
      <c r="W1246" s="2"/>
      <c r="X1246" s="2"/>
      <c r="Y1246" s="2"/>
      <c r="Z1246" s="2"/>
      <c r="AA1246" s="2"/>
      <c r="AB1246" s="2"/>
      <c r="AC1246" s="2"/>
      <c r="AD1246" s="2"/>
      <c r="AE1246" s="2"/>
      <c r="AF1246" s="2"/>
      <c r="AG1246" s="2"/>
      <c r="AH1246" s="2"/>
      <c r="AI1246" s="2"/>
      <c r="AJ1246" s="2"/>
      <c r="AK1246" s="2"/>
    </row>
    <row r="1247" spans="2:37">
      <c r="B1247" s="433" t="str">
        <f>B1119</f>
        <v>Bond and Interest #2</v>
      </c>
      <c r="C1247" s="337">
        <v>63</v>
      </c>
      <c r="D1247" s="429">
        <f>[1]C063!$C$9</f>
        <v>0</v>
      </c>
      <c r="E1247" s="2"/>
      <c r="G1247" s="705">
        <f>[1]C063!$D$9</f>
        <v>0</v>
      </c>
      <c r="H1247" s="706"/>
      <c r="J1247" s="2"/>
      <c r="K1247" s="705">
        <f>[1]C063!$E$9</f>
        <v>0</v>
      </c>
      <c r="L1247" s="706"/>
      <c r="M1247" s="2"/>
      <c r="N1247" s="2"/>
      <c r="O1247" s="2"/>
      <c r="P1247" s="2"/>
      <c r="Q1247" s="2"/>
      <c r="R1247" s="2"/>
      <c r="S1247" s="2"/>
      <c r="T1247" s="2"/>
      <c r="U1247" s="2"/>
      <c r="V1247" s="2"/>
      <c r="W1247" s="2"/>
      <c r="X1247" s="2"/>
      <c r="Y1247" s="2"/>
      <c r="Z1247" s="2"/>
      <c r="AA1247" s="2"/>
      <c r="AB1247" s="2"/>
      <c r="AC1247" s="2"/>
      <c r="AD1247" s="2"/>
      <c r="AE1247" s="2"/>
      <c r="AF1247" s="2"/>
      <c r="AG1247" s="2"/>
      <c r="AH1247" s="2"/>
      <c r="AI1247" s="2"/>
      <c r="AJ1247" s="2"/>
      <c r="AK1247" s="2"/>
    </row>
    <row r="1248" spans="2:37">
      <c r="B1248" s="1" t="s">
        <v>89</v>
      </c>
      <c r="C1248" s="337">
        <v>66</v>
      </c>
      <c r="D1248" s="400">
        <f>[1]C066!$C$9</f>
        <v>0</v>
      </c>
      <c r="E1248" s="2"/>
      <c r="G1248" s="671">
        <f>[1]C066!$D$9</f>
        <v>0</v>
      </c>
      <c r="H1248" s="653"/>
      <c r="J1248" s="2"/>
      <c r="K1248" s="671">
        <f>[1]C066!$E$9</f>
        <v>0</v>
      </c>
      <c r="L1248" s="653"/>
      <c r="M1248" s="2"/>
      <c r="N1248" s="2"/>
      <c r="O1248" s="2"/>
      <c r="P1248" s="2"/>
      <c r="Q1248" s="2"/>
      <c r="R1248" s="2"/>
      <c r="S1248" s="2"/>
      <c r="T1248" s="2"/>
      <c r="U1248" s="2"/>
      <c r="V1248" s="2"/>
      <c r="W1248" s="2"/>
      <c r="X1248" s="2"/>
      <c r="Y1248" s="2"/>
      <c r="Z1248" s="2"/>
      <c r="AA1248" s="2"/>
      <c r="AB1248" s="2"/>
      <c r="AC1248" s="2"/>
      <c r="AD1248" s="2"/>
      <c r="AE1248" s="2"/>
      <c r="AF1248" s="2"/>
      <c r="AG1248" s="2"/>
      <c r="AH1248" s="2"/>
      <c r="AI1248" s="2"/>
      <c r="AJ1248" s="2"/>
      <c r="AK1248" s="2"/>
    </row>
    <row r="1249" spans="2:37">
      <c r="B1249" s="257" t="s">
        <v>59</v>
      </c>
      <c r="C1249" s="337">
        <v>67</v>
      </c>
      <c r="D1249" s="429">
        <f>[1]C067!$C$9</f>
        <v>0</v>
      </c>
      <c r="E1249" s="2"/>
      <c r="G1249" s="705">
        <f>[1]C067!$D$9</f>
        <v>0</v>
      </c>
      <c r="H1249" s="706"/>
      <c r="J1249" s="2"/>
      <c r="K1249" s="705">
        <f>[1]C067!$E$9</f>
        <v>0</v>
      </c>
      <c r="L1249" s="706"/>
      <c r="M1249" s="2"/>
      <c r="N1249" s="2"/>
      <c r="S1249" s="2"/>
      <c r="T1249" s="2"/>
      <c r="U1249" s="2"/>
      <c r="V1249" s="2"/>
      <c r="W1249" s="2"/>
      <c r="X1249" s="2"/>
      <c r="Y1249" s="2"/>
      <c r="Z1249" s="2"/>
      <c r="AA1249" s="2"/>
      <c r="AB1249" s="2"/>
      <c r="AC1249" s="2"/>
      <c r="AD1249" s="2"/>
      <c r="AE1249" s="2"/>
      <c r="AF1249" s="2"/>
      <c r="AG1249" s="2"/>
      <c r="AH1249" s="2"/>
      <c r="AI1249" s="2"/>
      <c r="AJ1249" s="2"/>
      <c r="AK1249" s="2"/>
    </row>
    <row r="1250" spans="2:37" ht="15" thickBot="1">
      <c r="B1250" s="1" t="s">
        <v>60</v>
      </c>
      <c r="C1250" s="337">
        <v>68</v>
      </c>
      <c r="D1250" s="400">
        <f>[1]C068!$C$9</f>
        <v>0</v>
      </c>
      <c r="E1250" s="2"/>
      <c r="G1250" s="671">
        <f>[1]C068!$D$9</f>
        <v>0</v>
      </c>
      <c r="H1250" s="653"/>
      <c r="J1250" s="2"/>
      <c r="K1250" s="860">
        <f>[1]C068!$E$9</f>
        <v>0</v>
      </c>
      <c r="L1250" s="670"/>
      <c r="M1250" s="2"/>
      <c r="N1250" s="2"/>
      <c r="S1250" s="2"/>
      <c r="T1250" s="2"/>
      <c r="U1250" s="2"/>
      <c r="V1250" s="2"/>
      <c r="W1250" s="2"/>
      <c r="X1250" s="2"/>
      <c r="Y1250" s="2"/>
      <c r="Z1250" s="2"/>
      <c r="AA1250" s="2"/>
      <c r="AB1250" s="2"/>
      <c r="AC1250" s="2"/>
      <c r="AD1250" s="2"/>
      <c r="AE1250" s="2"/>
      <c r="AF1250" s="2"/>
      <c r="AG1250" s="2"/>
      <c r="AH1250" s="2"/>
      <c r="AI1250" s="2"/>
      <c r="AJ1250" s="2"/>
      <c r="AK1250" s="2"/>
    </row>
    <row r="1251" spans="2:37" ht="15" thickTop="1">
      <c r="B1251" s="434" t="s">
        <v>61</v>
      </c>
      <c r="C1251" s="435"/>
      <c r="D1251" s="436">
        <f>SUM(D1219:D1250)</f>
        <v>1818711</v>
      </c>
      <c r="E1251" s="2"/>
      <c r="G1251" s="721">
        <f>SUM(G1219:H1250)</f>
        <v>2222647</v>
      </c>
      <c r="H1251" s="722"/>
      <c r="J1251" s="2"/>
      <c r="K1251" s="858">
        <f>SUM(K1219:L1250)</f>
        <v>1317345</v>
      </c>
      <c r="L1251" s="859"/>
      <c r="M1251" s="2"/>
      <c r="N1251" s="2"/>
      <c r="O1251" s="2"/>
      <c r="P1251" s="2"/>
      <c r="Q1251" s="2"/>
      <c r="R1251" s="2"/>
      <c r="S1251" s="2"/>
      <c r="T1251" s="2"/>
      <c r="U1251" s="2"/>
      <c r="V1251" s="2"/>
      <c r="W1251" s="2"/>
      <c r="X1251" s="2"/>
      <c r="Y1251" s="2"/>
      <c r="Z1251" s="2"/>
      <c r="AA1251" s="2"/>
      <c r="AB1251" s="2"/>
      <c r="AC1251" s="2"/>
      <c r="AD1251" s="2"/>
      <c r="AE1251" s="2"/>
      <c r="AF1251" s="2"/>
      <c r="AG1251" s="2"/>
      <c r="AH1251" s="2"/>
      <c r="AI1251" s="2"/>
      <c r="AJ1251" s="2"/>
      <c r="AK1251" s="2"/>
    </row>
    <row r="1252" spans="2:37" ht="15.75">
      <c r="B1252" s="1" t="s">
        <v>181</v>
      </c>
      <c r="C1252" s="1"/>
      <c r="D1252" s="437">
        <f>G1312</f>
        <v>70.7</v>
      </c>
      <c r="E1252" s="2"/>
      <c r="G1252" s="719">
        <f>I1312</f>
        <v>82.5</v>
      </c>
      <c r="H1252" s="720"/>
      <c r="J1252" s="2"/>
      <c r="K1252" s="665">
        <f>K1312</f>
        <v>70</v>
      </c>
      <c r="L1252" s="666"/>
      <c r="M1252" s="2"/>
      <c r="N1252" s="2"/>
      <c r="O1252" s="2"/>
      <c r="P1252" s="2"/>
      <c r="Q1252" s="2"/>
      <c r="R1252" s="2"/>
      <c r="S1252" s="2"/>
      <c r="T1252" s="2"/>
      <c r="U1252" s="2"/>
      <c r="V1252" s="2"/>
      <c r="W1252" s="2"/>
      <c r="X1252" s="2"/>
      <c r="Y1252" s="2"/>
      <c r="Z1252" s="2"/>
      <c r="AA1252" s="2"/>
      <c r="AB1252" s="2"/>
      <c r="AC1252" s="2"/>
      <c r="AD1252" s="2"/>
      <c r="AE1252" s="2"/>
      <c r="AF1252" s="2"/>
      <c r="AG1252" s="2"/>
      <c r="AH1252" s="2"/>
      <c r="AI1252" s="2"/>
      <c r="AJ1252" s="2"/>
      <c r="AK1252" s="2"/>
    </row>
    <row r="1253" spans="2:37" ht="16.5" thickBot="1">
      <c r="B1253" s="438" t="s">
        <v>182</v>
      </c>
      <c r="C1253" s="257"/>
      <c r="D1253" s="439">
        <f>IF(D1251=0,0,D1251/D1252)</f>
        <v>25724</v>
      </c>
      <c r="E1253" s="2"/>
      <c r="G1253" s="717">
        <f>IF(G1251=0,0,G1251/G1252)</f>
        <v>26941</v>
      </c>
      <c r="H1253" s="718"/>
      <c r="J1253" s="2"/>
      <c r="K1253" s="717">
        <f>IF(K1251=0,0,K1251/K1252)</f>
        <v>18819</v>
      </c>
      <c r="L1253" s="718"/>
      <c r="M1253" s="2"/>
      <c r="N1253" s="2"/>
      <c r="O1253" s="2"/>
      <c r="P1253" s="2"/>
      <c r="Q1253" s="2"/>
      <c r="R1253" s="2"/>
      <c r="S1253" s="2"/>
      <c r="T1253" s="2"/>
      <c r="U1253" s="2"/>
      <c r="V1253" s="2"/>
      <c r="W1253" s="2"/>
      <c r="X1253" s="2"/>
      <c r="Y1253" s="2"/>
      <c r="Z1253" s="2"/>
      <c r="AA1253" s="2"/>
      <c r="AB1253" s="2"/>
      <c r="AC1253" s="2"/>
      <c r="AD1253" s="2"/>
      <c r="AE1253" s="2"/>
      <c r="AF1253" s="2"/>
      <c r="AG1253" s="2"/>
      <c r="AH1253" s="2"/>
      <c r="AI1253" s="2"/>
      <c r="AJ1253" s="2"/>
      <c r="AK1253" s="2"/>
    </row>
    <row r="1254" spans="2:37">
      <c r="B1254" s="1" t="s">
        <v>63</v>
      </c>
      <c r="C1254" s="337">
        <v>10</v>
      </c>
      <c r="D1254" s="400">
        <f>[1]C010!$C$9</f>
        <v>0</v>
      </c>
      <c r="E1254" s="2"/>
      <c r="G1254" s="671">
        <f>[1]C010!$D$9</f>
        <v>0</v>
      </c>
      <c r="H1254" s="653"/>
      <c r="J1254" s="2"/>
      <c r="K1254" s="769">
        <f>[1]C010!$E$9</f>
        <v>0</v>
      </c>
      <c r="L1254" s="662"/>
      <c r="M1254" s="2"/>
      <c r="N1254" s="2"/>
      <c r="O1254" s="2"/>
      <c r="P1254" s="2"/>
      <c r="Q1254" s="2"/>
      <c r="R1254" s="2"/>
      <c r="S1254" s="2"/>
      <c r="T1254" s="2"/>
      <c r="U1254" s="2"/>
      <c r="V1254" s="2"/>
      <c r="W1254" s="2"/>
      <c r="X1254" s="2"/>
      <c r="Y1254" s="2"/>
      <c r="Z1254" s="2"/>
      <c r="AA1254" s="2"/>
      <c r="AB1254" s="2"/>
      <c r="AC1254" s="2"/>
      <c r="AD1254" s="2"/>
      <c r="AE1254" s="2"/>
      <c r="AF1254" s="2"/>
      <c r="AG1254" s="2"/>
      <c r="AH1254" s="2"/>
      <c r="AI1254" s="2"/>
      <c r="AJ1254" s="2"/>
      <c r="AK1254" s="2"/>
    </row>
    <row r="1255" spans="2:37">
      <c r="B1255" s="257" t="s">
        <v>64</v>
      </c>
      <c r="C1255" s="440">
        <v>12</v>
      </c>
      <c r="D1255" s="429">
        <f>[1]C012!$C$9</f>
        <v>0</v>
      </c>
      <c r="E1255" s="2"/>
      <c r="G1255" s="705">
        <f>[1]C012!$D$9</f>
        <v>0</v>
      </c>
      <c r="H1255" s="706"/>
      <c r="J1255" s="2"/>
      <c r="K1255" s="705">
        <f>[1]C012!$E$9</f>
        <v>0</v>
      </c>
      <c r="L1255" s="706"/>
      <c r="M1255" s="2"/>
      <c r="N1255" s="2"/>
      <c r="O1255" s="2"/>
      <c r="P1255" s="2"/>
      <c r="Q1255" s="2"/>
      <c r="R1255" s="2"/>
      <c r="S1255" s="2"/>
      <c r="T1255" s="2"/>
      <c r="U1255" s="2"/>
      <c r="V1255" s="2"/>
      <c r="W1255" s="2"/>
      <c r="X1255" s="2"/>
      <c r="Y1255" s="2"/>
      <c r="Z1255" s="2"/>
      <c r="AA1255" s="2"/>
      <c r="AB1255" s="2"/>
      <c r="AC1255" s="2"/>
      <c r="AD1255" s="2"/>
      <c r="AE1255" s="2"/>
      <c r="AF1255" s="2"/>
      <c r="AG1255" s="2"/>
      <c r="AH1255" s="2"/>
      <c r="AI1255" s="2"/>
      <c r="AJ1255" s="2"/>
      <c r="AK1255" s="2"/>
    </row>
    <row r="1256" spans="2:37" ht="15" thickBot="1">
      <c r="B1256" s="441" t="s">
        <v>65</v>
      </c>
      <c r="C1256" s="337">
        <v>78</v>
      </c>
      <c r="D1256" s="442">
        <f>[1]C078!$C$9</f>
        <v>0</v>
      </c>
      <c r="E1256" s="2"/>
      <c r="G1256" s="671">
        <f>[1]C078!$D$9</f>
        <v>0</v>
      </c>
      <c r="H1256" s="653"/>
      <c r="J1256" s="2"/>
      <c r="K1256" s="860">
        <f>[1]C078!$E$9</f>
        <v>0</v>
      </c>
      <c r="L1256" s="670"/>
      <c r="M1256" s="2"/>
      <c r="N1256" s="2"/>
      <c r="O1256" s="2"/>
      <c r="P1256" s="2"/>
      <c r="Q1256" s="2"/>
      <c r="R1256" s="2"/>
      <c r="S1256" s="2"/>
      <c r="T1256" s="2"/>
      <c r="U1256" s="2"/>
      <c r="V1256" s="2"/>
      <c r="W1256" s="2"/>
      <c r="X1256" s="2"/>
      <c r="Y1256" s="2"/>
      <c r="Z1256" s="2"/>
      <c r="AA1256" s="2"/>
      <c r="AB1256" s="2"/>
      <c r="AC1256" s="2"/>
      <c r="AD1256" s="2"/>
      <c r="AE1256" s="2"/>
      <c r="AF1256" s="2"/>
      <c r="AG1256" s="2"/>
      <c r="AH1256" s="2"/>
      <c r="AI1256" s="2"/>
      <c r="AJ1256" s="2"/>
      <c r="AK1256" s="2"/>
    </row>
    <row r="1257" spans="2:37" ht="15" thickTop="1">
      <c r="B1257" s="263" t="s">
        <v>66</v>
      </c>
      <c r="C1257" s="1"/>
      <c r="D1257" s="264">
        <f>SUM(D1254:D1256,D1251)</f>
        <v>1818711</v>
      </c>
      <c r="E1257" s="2"/>
      <c r="G1257" s="715">
        <f>SUM(G1254:H1256,G1251)</f>
        <v>2222647</v>
      </c>
      <c r="H1257" s="716"/>
      <c r="J1257" s="2"/>
      <c r="K1257" s="709">
        <f>SUM(K1254:L1256,K1251)</f>
        <v>1317345</v>
      </c>
      <c r="L1257" s="710"/>
      <c r="M1257" s="2"/>
      <c r="N1257" s="2"/>
      <c r="O1257" s="2"/>
      <c r="P1257" s="2"/>
      <c r="Q1257" s="2"/>
      <c r="R1257" s="2"/>
      <c r="S1257" s="2"/>
      <c r="T1257" s="2"/>
      <c r="U1257" s="2"/>
      <c r="V1257" s="2"/>
      <c r="W1257" s="2"/>
      <c r="X1257" s="2"/>
      <c r="Y1257" s="2"/>
      <c r="Z1257" s="2"/>
      <c r="AA1257" s="2"/>
      <c r="AB1257" s="2"/>
      <c r="AC1257" s="2"/>
      <c r="AD1257" s="2"/>
      <c r="AE1257" s="2"/>
      <c r="AF1257" s="2"/>
      <c r="AG1257" s="2"/>
      <c r="AH1257" s="2"/>
      <c r="AI1257" s="2"/>
      <c r="AJ1257" s="2"/>
      <c r="AK1257" s="2"/>
    </row>
    <row r="1258" spans="2:37" ht="6.75" customHeight="1">
      <c r="B1258" s="2"/>
      <c r="C1258" s="2"/>
      <c r="D1258" s="159"/>
      <c r="E1258" s="2"/>
      <c r="F1258" s="159"/>
      <c r="G1258" s="2"/>
      <c r="H1258" s="2"/>
      <c r="I1258" s="159"/>
      <c r="J1258" s="2"/>
      <c r="K1258" s="2"/>
      <c r="L1258" s="2"/>
      <c r="M1258" s="2"/>
      <c r="N1258" s="2"/>
      <c r="O1258" s="2"/>
      <c r="P1258" s="2"/>
      <c r="Q1258" s="2"/>
      <c r="R1258" s="2"/>
      <c r="S1258" s="2"/>
      <c r="T1258" s="2"/>
      <c r="U1258" s="2"/>
      <c r="V1258" s="2"/>
      <c r="W1258" s="2"/>
      <c r="X1258" s="2"/>
      <c r="Y1258" s="2"/>
      <c r="Z1258" s="2"/>
      <c r="AA1258" s="2"/>
      <c r="AB1258" s="2"/>
      <c r="AC1258" s="2"/>
      <c r="AD1258" s="2"/>
      <c r="AE1258" s="2"/>
      <c r="AF1258" s="2"/>
      <c r="AG1258" s="2"/>
      <c r="AH1258" s="2"/>
      <c r="AI1258" s="2"/>
      <c r="AJ1258" s="2"/>
      <c r="AK1258" s="2"/>
    </row>
    <row r="1259" spans="2:37">
      <c r="B1259" s="650"/>
      <c r="C1259" s="650"/>
      <c r="D1259" s="650"/>
      <c r="E1259" s="650"/>
      <c r="F1259" s="650"/>
      <c r="G1259" s="650"/>
      <c r="H1259" s="650"/>
      <c r="I1259" s="650"/>
      <c r="J1259" s="650"/>
      <c r="K1259" s="650"/>
      <c r="L1259" s="650"/>
      <c r="M1259" s="2"/>
      <c r="N1259" s="2"/>
      <c r="O1259" s="2"/>
      <c r="P1259" s="2"/>
      <c r="Q1259" s="2"/>
      <c r="R1259" s="2"/>
      <c r="S1259" s="2"/>
      <c r="T1259" s="2"/>
      <c r="U1259" s="2"/>
      <c r="V1259" s="2"/>
      <c r="W1259" s="2"/>
      <c r="X1259" s="2"/>
      <c r="Y1259" s="2"/>
      <c r="Z1259" s="2"/>
      <c r="AA1259" s="2"/>
      <c r="AB1259" s="2"/>
      <c r="AC1259" s="2"/>
      <c r="AD1259" s="2"/>
      <c r="AE1259" s="2"/>
      <c r="AF1259" s="2"/>
      <c r="AG1259" s="2"/>
      <c r="AH1259" s="2"/>
      <c r="AI1259" s="2"/>
      <c r="AJ1259" s="2"/>
      <c r="AK1259" s="2"/>
    </row>
    <row r="1260" spans="2:37">
      <c r="B1260" s="650"/>
      <c r="C1260" s="650"/>
      <c r="D1260" s="650"/>
      <c r="E1260" s="650"/>
      <c r="F1260" s="650"/>
      <c r="G1260" s="650"/>
      <c r="H1260" s="650"/>
      <c r="I1260" s="650"/>
      <c r="J1260" s="650"/>
      <c r="K1260" s="650"/>
      <c r="L1260" s="650"/>
      <c r="M1260" s="2"/>
      <c r="N1260" s="2"/>
      <c r="O1260" s="2"/>
      <c r="P1260" s="2"/>
      <c r="Q1260" s="2"/>
      <c r="R1260" s="2"/>
      <c r="S1260" s="2"/>
      <c r="T1260" s="2"/>
      <c r="U1260" s="2"/>
      <c r="V1260" s="2"/>
      <c r="W1260" s="2"/>
      <c r="X1260" s="2"/>
      <c r="Y1260" s="2"/>
      <c r="Z1260" s="2"/>
      <c r="AA1260" s="2"/>
      <c r="AB1260" s="2"/>
      <c r="AC1260" s="2"/>
      <c r="AD1260" s="2"/>
      <c r="AE1260" s="2"/>
      <c r="AF1260" s="2"/>
      <c r="AG1260" s="2"/>
      <c r="AH1260" s="2"/>
      <c r="AI1260" s="2"/>
      <c r="AJ1260" s="2"/>
      <c r="AK1260" s="2"/>
    </row>
    <row r="1261" spans="2:37">
      <c r="B1261" s="650"/>
      <c r="C1261" s="650"/>
      <c r="D1261" s="650"/>
      <c r="E1261" s="650"/>
      <c r="F1261" s="650"/>
      <c r="G1261" s="650"/>
      <c r="H1261" s="650"/>
      <c r="I1261" s="650"/>
      <c r="J1261" s="650"/>
      <c r="K1261" s="650"/>
      <c r="L1261" s="650"/>
      <c r="M1261" s="2"/>
      <c r="N1261" s="2"/>
      <c r="O1261" s="2"/>
      <c r="P1261" s="2"/>
      <c r="Q1261" s="2"/>
      <c r="R1261" s="2"/>
      <c r="S1261" s="2"/>
      <c r="T1261" s="2"/>
      <c r="U1261" s="2"/>
      <c r="V1261" s="2"/>
      <c r="W1261" s="2"/>
      <c r="X1261" s="2"/>
      <c r="Y1261" s="2"/>
      <c r="Z1261" s="2"/>
      <c r="AA1261" s="2"/>
      <c r="AB1261" s="2"/>
      <c r="AC1261" s="2"/>
      <c r="AD1261" s="2"/>
      <c r="AE1261" s="2"/>
      <c r="AF1261" s="2"/>
      <c r="AG1261" s="2"/>
      <c r="AH1261" s="2"/>
      <c r="AI1261" s="2"/>
      <c r="AJ1261" s="2"/>
      <c r="AK1261" s="2"/>
    </row>
    <row r="1262" spans="2:37">
      <c r="B1262" s="208"/>
      <c r="C1262" s="2"/>
      <c r="D1262" s="159"/>
      <c r="E1262" s="2"/>
      <c r="F1262" s="159"/>
      <c r="G1262" s="2"/>
      <c r="H1262" s="2"/>
      <c r="I1262" s="159"/>
      <c r="J1262" s="2"/>
      <c r="K1262" s="2"/>
      <c r="L1262" s="2"/>
      <c r="M1262" s="2"/>
      <c r="N1262" s="2"/>
      <c r="O1262" s="2"/>
      <c r="P1262" s="2"/>
      <c r="Q1262" s="2"/>
      <c r="R1262" s="2"/>
      <c r="S1262" s="2"/>
      <c r="T1262" s="2"/>
      <c r="U1262" s="2"/>
      <c r="V1262" s="2"/>
      <c r="W1262" s="2"/>
      <c r="X1262" s="2"/>
      <c r="Y1262" s="2"/>
      <c r="Z1262" s="2"/>
      <c r="AA1262" s="2"/>
      <c r="AB1262" s="2"/>
      <c r="AC1262" s="2"/>
      <c r="AD1262" s="2"/>
      <c r="AE1262" s="2"/>
      <c r="AF1262" s="2"/>
      <c r="AG1262" s="2"/>
      <c r="AH1262" s="2"/>
      <c r="AI1262" s="2"/>
      <c r="AJ1262" s="2"/>
      <c r="AK1262" s="2"/>
    </row>
    <row r="1263" spans="2:37">
      <c r="B1263" s="2"/>
      <c r="C1263" s="2"/>
      <c r="D1263" s="2"/>
      <c r="E1263" s="2"/>
      <c r="F1263" s="2"/>
      <c r="G1263" s="2"/>
      <c r="H1263" s="2"/>
      <c r="I1263" s="2"/>
      <c r="J1263" s="2"/>
      <c r="K1263" s="2"/>
      <c r="L1263" s="2"/>
      <c r="M1263" s="2"/>
      <c r="N1263" s="2"/>
      <c r="O1263" s="2"/>
      <c r="P1263" s="2"/>
      <c r="Q1263" s="2"/>
      <c r="R1263" s="2"/>
      <c r="S1263" s="2"/>
      <c r="T1263" s="2"/>
      <c r="U1263" s="2"/>
      <c r="V1263" s="2"/>
      <c r="W1263" s="2"/>
      <c r="X1263" s="2"/>
      <c r="Y1263" s="2"/>
      <c r="Z1263" s="2"/>
      <c r="AA1263" s="2"/>
      <c r="AB1263" s="2"/>
      <c r="AC1263" s="2"/>
      <c r="AD1263" s="2"/>
      <c r="AE1263" s="2"/>
      <c r="AF1263" s="2"/>
      <c r="AG1263" s="2"/>
      <c r="AH1263" s="2"/>
      <c r="AI1263" s="2"/>
      <c r="AJ1263" s="2"/>
      <c r="AK1263" s="2"/>
    </row>
    <row r="1264" spans="2:37">
      <c r="B1264" s="2"/>
      <c r="C1264" s="2"/>
      <c r="D1264" s="2"/>
      <c r="E1264" s="2"/>
      <c r="F1264" s="2"/>
      <c r="G1264" s="2"/>
      <c r="H1264" s="2"/>
      <c r="I1264" s="2"/>
      <c r="J1264" s="2"/>
      <c r="K1264" s="2"/>
      <c r="L1264" s="2"/>
      <c r="M1264" s="2"/>
      <c r="N1264" s="2"/>
      <c r="O1264" s="2"/>
      <c r="P1264" s="2"/>
      <c r="Q1264" s="2"/>
      <c r="R1264" s="2"/>
      <c r="S1264" s="2"/>
      <c r="T1264" s="2"/>
      <c r="U1264" s="2"/>
      <c r="V1264" s="2"/>
      <c r="W1264" s="2"/>
      <c r="X1264" s="2"/>
      <c r="Y1264" s="2"/>
      <c r="Z1264" s="2"/>
      <c r="AA1264" s="2"/>
      <c r="AB1264" s="2"/>
      <c r="AC1264" s="2"/>
      <c r="AD1264" s="2"/>
      <c r="AE1264" s="2"/>
      <c r="AF1264" s="2"/>
      <c r="AG1264" s="2"/>
      <c r="AH1264" s="2"/>
      <c r="AI1264" s="2"/>
      <c r="AJ1264" s="2"/>
      <c r="AK1264" s="2"/>
    </row>
    <row r="1265" spans="2:37">
      <c r="B1265" s="2"/>
      <c r="C1265" s="2"/>
      <c r="D1265" s="2"/>
      <c r="E1265" s="2"/>
      <c r="F1265" s="46"/>
      <c r="G1265" s="2"/>
      <c r="H1265" s="2"/>
      <c r="I1265" s="392"/>
      <c r="J1265" s="2"/>
      <c r="K1265" s="2"/>
      <c r="L1265" s="2"/>
      <c r="M1265" s="2"/>
      <c r="N1265" s="2"/>
      <c r="O1265" s="2"/>
      <c r="P1265" s="2"/>
      <c r="Q1265" s="2"/>
      <c r="R1265" s="2"/>
      <c r="S1265" s="2"/>
      <c r="T1265" s="2"/>
      <c r="U1265" s="2"/>
      <c r="V1265" s="2"/>
      <c r="W1265" s="2"/>
      <c r="X1265" s="2"/>
      <c r="Y1265" s="2"/>
      <c r="Z1265" s="2"/>
      <c r="AA1265" s="2"/>
      <c r="AB1265" s="2"/>
      <c r="AC1265" s="2"/>
      <c r="AD1265" s="2"/>
      <c r="AE1265" s="2"/>
      <c r="AF1265" s="2"/>
      <c r="AG1265" s="2"/>
      <c r="AH1265" s="2"/>
      <c r="AI1265" s="2"/>
      <c r="AJ1265" s="2"/>
      <c r="AK1265" s="2"/>
    </row>
    <row r="1266" spans="2:37">
      <c r="M1266" s="2"/>
      <c r="N1266" s="2"/>
      <c r="O1266" s="2"/>
      <c r="P1266" s="2"/>
      <c r="Q1266" s="2"/>
      <c r="R1266" s="2"/>
      <c r="S1266" s="2"/>
      <c r="T1266" s="2"/>
      <c r="U1266" s="2"/>
      <c r="V1266" s="2"/>
      <c r="W1266" s="2"/>
      <c r="X1266" s="2"/>
      <c r="Y1266" s="2"/>
      <c r="Z1266" s="2"/>
      <c r="AA1266" s="2"/>
      <c r="AB1266" s="2"/>
      <c r="AC1266" s="2"/>
      <c r="AD1266" s="2"/>
      <c r="AE1266" s="2"/>
      <c r="AF1266" s="2"/>
      <c r="AG1266" s="2"/>
      <c r="AH1266" s="2"/>
      <c r="AI1266" s="2"/>
      <c r="AJ1266" s="2"/>
      <c r="AK1266" s="2"/>
    </row>
    <row r="1267" spans="2:37">
      <c r="M1267" s="2"/>
      <c r="N1267" s="2"/>
      <c r="O1267" s="2"/>
      <c r="P1267" s="2"/>
      <c r="Q1267" s="2"/>
      <c r="R1267" s="2"/>
      <c r="S1267" s="2"/>
      <c r="T1267" s="2"/>
      <c r="U1267" s="2"/>
      <c r="V1267" s="2"/>
      <c r="W1267" s="2"/>
      <c r="X1267" s="2"/>
      <c r="Y1267" s="2"/>
      <c r="Z1267" s="2"/>
      <c r="AA1267" s="2"/>
      <c r="AB1267" s="2"/>
      <c r="AC1267" s="2"/>
      <c r="AD1267" s="2"/>
      <c r="AE1267" s="2"/>
      <c r="AF1267" s="2"/>
      <c r="AG1267" s="2"/>
      <c r="AH1267" s="2"/>
      <c r="AI1267" s="2"/>
      <c r="AJ1267" s="2"/>
      <c r="AK1267" s="2"/>
    </row>
    <row r="1268" spans="2:37">
      <c r="M1268" s="2"/>
      <c r="N1268" s="2"/>
      <c r="O1268" s="2"/>
      <c r="P1268" s="2" t="s">
        <v>87</v>
      </c>
      <c r="Q1268" s="2"/>
      <c r="R1268" s="2"/>
      <c r="S1268" s="2"/>
      <c r="T1268" s="2"/>
      <c r="U1268" s="2"/>
      <c r="V1268" s="2"/>
      <c r="W1268" s="2"/>
      <c r="X1268" s="2"/>
      <c r="Y1268" s="2"/>
      <c r="Z1268" s="2"/>
      <c r="AA1268" s="2"/>
      <c r="AB1268" s="2"/>
      <c r="AC1268" s="2"/>
      <c r="AD1268" s="2"/>
      <c r="AE1268" s="2"/>
      <c r="AF1268" s="2"/>
      <c r="AG1268" s="2"/>
      <c r="AH1268" s="2"/>
      <c r="AI1268" s="2"/>
      <c r="AJ1268" s="2"/>
      <c r="AK1268" s="2"/>
    </row>
    <row r="1269" spans="2:37">
      <c r="M1269" s="2"/>
      <c r="N1269" s="2"/>
      <c r="O1269" s="2"/>
      <c r="P1269" s="443">
        <f>D1218</f>
        <v>45108</v>
      </c>
      <c r="Q1269" s="443" t="str">
        <f>G1218</f>
        <v>July 1, 2024</v>
      </c>
      <c r="R1269" s="443" t="str">
        <f>K1218</f>
        <v>July 1, 2025</v>
      </c>
      <c r="S1269" s="2"/>
      <c r="T1269" s="2"/>
      <c r="U1269" s="2"/>
      <c r="V1269" s="2"/>
      <c r="W1269" s="2"/>
      <c r="X1269" s="2"/>
      <c r="Y1269" s="2"/>
      <c r="Z1269" s="2"/>
      <c r="AA1269" s="2"/>
      <c r="AB1269" s="2"/>
      <c r="AC1269" s="2"/>
      <c r="AD1269" s="2"/>
      <c r="AE1269" s="2"/>
      <c r="AF1269" s="2"/>
      <c r="AG1269" s="2"/>
      <c r="AH1269" s="2"/>
      <c r="AI1269" s="2"/>
      <c r="AJ1269" s="2"/>
      <c r="AK1269" s="2"/>
    </row>
    <row r="1270" spans="2:37">
      <c r="M1270" s="2"/>
      <c r="N1270" s="2"/>
      <c r="O1270" s="2" t="s">
        <v>88</v>
      </c>
      <c r="P1270" s="207">
        <f>IF(AND($D1257&lt;=0,$G1257&lt;=0,$K1257&lt;=0),#N/A,IF($D1257&lt;=0,0,$D1257))</f>
        <v>1818711</v>
      </c>
      <c r="Q1270" s="207">
        <f>IF(AND($D1257&lt;=0,$G1257&lt;=0,$K1257&lt;=0),#N/A,IF($G1257&lt;=0,0,$G1257))</f>
        <v>2222647</v>
      </c>
      <c r="R1270" s="207">
        <f>IF(AND($D1257&lt;=0,$G1257&lt;=0,$K1257&lt;=0),#N/A,IF($K1257&lt;=0,0,$K1257))</f>
        <v>1317345</v>
      </c>
      <c r="S1270" s="2"/>
      <c r="T1270" s="2"/>
      <c r="U1270" s="2"/>
      <c r="V1270" s="2"/>
      <c r="W1270" s="2"/>
      <c r="X1270" s="2"/>
      <c r="Y1270" s="2"/>
      <c r="Z1270" s="2"/>
      <c r="AA1270" s="2"/>
      <c r="AB1270" s="2"/>
      <c r="AC1270" s="2"/>
      <c r="AD1270" s="2"/>
      <c r="AE1270" s="2"/>
      <c r="AF1270" s="2"/>
      <c r="AG1270" s="2"/>
      <c r="AH1270" s="2"/>
      <c r="AI1270" s="2"/>
      <c r="AJ1270" s="2"/>
      <c r="AK1270" s="2"/>
    </row>
    <row r="1271" spans="2:37">
      <c r="M1271" s="2"/>
      <c r="N1271" s="2"/>
      <c r="O1271" s="2"/>
      <c r="P1271" s="2"/>
      <c r="Q1271" s="2"/>
      <c r="R1271" s="2"/>
      <c r="S1271" s="2"/>
      <c r="T1271" s="2"/>
      <c r="U1271" s="2"/>
      <c r="V1271" s="2"/>
      <c r="W1271" s="2"/>
      <c r="X1271" s="2"/>
      <c r="Y1271" s="2"/>
      <c r="Z1271" s="2"/>
      <c r="AA1271" s="2"/>
      <c r="AB1271" s="2"/>
      <c r="AC1271" s="2"/>
      <c r="AD1271" s="2"/>
      <c r="AE1271" s="2"/>
      <c r="AF1271" s="2"/>
      <c r="AG1271" s="2"/>
      <c r="AH1271" s="2"/>
      <c r="AI1271" s="2"/>
      <c r="AJ1271" s="2"/>
      <c r="AK1271" s="2"/>
    </row>
    <row r="1272" spans="2:37">
      <c r="M1272" s="2"/>
      <c r="N1272" s="2"/>
      <c r="O1272" s="2"/>
      <c r="P1272" s="2"/>
      <c r="Q1272" s="2"/>
      <c r="R1272" s="2"/>
      <c r="S1272" s="2"/>
      <c r="T1272" s="2"/>
      <c r="U1272" s="2"/>
      <c r="V1272" s="2"/>
      <c r="W1272" s="2"/>
      <c r="X1272" s="2"/>
      <c r="Y1272" s="2"/>
      <c r="Z1272" s="2"/>
      <c r="AA1272" s="2"/>
      <c r="AB1272" s="2"/>
      <c r="AC1272" s="2"/>
      <c r="AD1272" s="2"/>
      <c r="AE1272" s="2"/>
      <c r="AF1272" s="2"/>
      <c r="AG1272" s="2"/>
      <c r="AH1272" s="2"/>
      <c r="AI1272" s="2"/>
      <c r="AJ1272" s="2"/>
      <c r="AK1272" s="2"/>
    </row>
    <row r="1273" spans="2:37">
      <c r="M1273" s="2"/>
      <c r="N1273" s="2"/>
      <c r="O1273" s="2"/>
      <c r="P1273" s="2"/>
      <c r="Q1273" s="2"/>
      <c r="R1273" s="2"/>
      <c r="S1273" s="2"/>
      <c r="T1273" s="2"/>
      <c r="U1273" s="2"/>
      <c r="V1273" s="2"/>
      <c r="W1273" s="2"/>
      <c r="X1273" s="2"/>
      <c r="Y1273" s="2"/>
      <c r="Z1273" s="2"/>
      <c r="AA1273" s="2"/>
      <c r="AB1273" s="2"/>
      <c r="AC1273" s="2"/>
      <c r="AD1273" s="2"/>
      <c r="AE1273" s="2"/>
      <c r="AF1273" s="2"/>
      <c r="AG1273" s="2"/>
      <c r="AH1273" s="2"/>
      <c r="AI1273" s="2"/>
      <c r="AJ1273" s="2"/>
      <c r="AK1273" s="2"/>
    </row>
    <row r="1274" spans="2:37">
      <c r="M1274" s="2"/>
      <c r="N1274" s="2"/>
      <c r="O1274" s="2"/>
      <c r="P1274" s="2"/>
      <c r="Q1274" s="2"/>
      <c r="R1274" s="2"/>
      <c r="S1274" s="2"/>
      <c r="T1274" s="2"/>
      <c r="U1274" s="2"/>
      <c r="V1274" s="2"/>
      <c r="W1274" s="2"/>
      <c r="X1274" s="2"/>
      <c r="Y1274" s="2"/>
      <c r="Z1274" s="2"/>
      <c r="AA1274" s="2"/>
      <c r="AB1274" s="2"/>
      <c r="AC1274" s="2"/>
      <c r="AD1274" s="2"/>
      <c r="AE1274" s="2"/>
      <c r="AF1274" s="2"/>
      <c r="AG1274" s="2"/>
      <c r="AH1274" s="2"/>
      <c r="AI1274" s="2"/>
      <c r="AJ1274" s="2"/>
      <c r="AK1274" s="2"/>
    </row>
    <row r="1275" spans="2:37">
      <c r="M1275" s="2"/>
      <c r="N1275" s="2"/>
      <c r="O1275" s="2"/>
      <c r="P1275" s="2"/>
      <c r="Q1275" s="2"/>
      <c r="R1275" s="2"/>
      <c r="S1275" s="2"/>
      <c r="T1275" s="2"/>
      <c r="U1275" s="2"/>
      <c r="V1275" s="2"/>
      <c r="W1275" s="2"/>
      <c r="X1275" s="2"/>
      <c r="Y1275" s="2"/>
      <c r="Z1275" s="2"/>
      <c r="AA1275" s="2"/>
      <c r="AB1275" s="2"/>
      <c r="AC1275" s="2"/>
      <c r="AD1275" s="2"/>
      <c r="AE1275" s="2"/>
      <c r="AF1275" s="2"/>
      <c r="AG1275" s="2"/>
      <c r="AH1275" s="2"/>
      <c r="AI1275" s="2"/>
      <c r="AJ1275" s="2"/>
      <c r="AK1275" s="2"/>
    </row>
    <row r="1276" spans="2:37">
      <c r="M1276" s="2"/>
      <c r="N1276" s="2"/>
      <c r="O1276" s="2"/>
      <c r="P1276" s="2"/>
      <c r="Q1276" s="2"/>
      <c r="R1276" s="2"/>
      <c r="S1276" s="2"/>
      <c r="T1276" s="2"/>
      <c r="U1276" s="2"/>
      <c r="V1276" s="2"/>
      <c r="W1276" s="2"/>
      <c r="X1276" s="2"/>
      <c r="Y1276" s="2"/>
      <c r="Z1276" s="2"/>
      <c r="AA1276" s="2"/>
      <c r="AB1276" s="2"/>
      <c r="AC1276" s="2"/>
      <c r="AD1276" s="2"/>
      <c r="AE1276" s="2"/>
      <c r="AF1276" s="2"/>
      <c r="AG1276" s="2"/>
      <c r="AH1276" s="2"/>
      <c r="AI1276" s="2"/>
      <c r="AJ1276" s="2"/>
      <c r="AK1276" s="2"/>
    </row>
    <row r="1277" spans="2:37">
      <c r="B1277" s="2"/>
      <c r="C1277" s="2"/>
      <c r="D1277" s="2"/>
      <c r="E1277" s="2"/>
      <c r="F1277" s="2"/>
      <c r="G1277" s="2"/>
      <c r="H1277" s="2"/>
      <c r="I1277" s="2"/>
      <c r="J1277" s="2"/>
      <c r="K1277" s="2"/>
      <c r="L1277" s="2"/>
      <c r="M1277" s="2"/>
      <c r="N1277" s="2"/>
      <c r="O1277" s="2"/>
      <c r="P1277" s="2"/>
      <c r="Q1277" s="2"/>
      <c r="R1277" s="2"/>
      <c r="S1277" s="2"/>
      <c r="T1277" s="2"/>
      <c r="U1277" s="2"/>
      <c r="V1277" s="2"/>
      <c r="W1277" s="2"/>
      <c r="X1277" s="2"/>
      <c r="Y1277" s="2"/>
      <c r="Z1277" s="2"/>
      <c r="AA1277" s="2"/>
      <c r="AB1277" s="2"/>
      <c r="AC1277" s="2"/>
      <c r="AD1277" s="2"/>
      <c r="AE1277" s="2"/>
      <c r="AF1277" s="2"/>
      <c r="AG1277" s="2"/>
      <c r="AH1277" s="2"/>
      <c r="AI1277" s="2"/>
      <c r="AJ1277" s="2"/>
      <c r="AK1277" s="2"/>
    </row>
    <row r="1278" spans="2:37">
      <c r="B1278" s="2"/>
      <c r="C1278" s="2"/>
      <c r="D1278" s="2"/>
      <c r="E1278" s="2"/>
      <c r="F1278" s="2"/>
      <c r="G1278" s="2"/>
      <c r="H1278" s="2"/>
      <c r="I1278" s="2"/>
      <c r="J1278" s="2"/>
      <c r="K1278" s="2"/>
      <c r="L1278" s="2"/>
      <c r="M1278" s="2"/>
      <c r="N1278" s="2"/>
      <c r="O1278" s="2"/>
      <c r="P1278" s="2"/>
      <c r="Q1278" s="2"/>
      <c r="R1278" s="2"/>
      <c r="S1278" s="2"/>
      <c r="T1278" s="2"/>
      <c r="U1278" s="2"/>
      <c r="V1278" s="2"/>
      <c r="W1278" s="2"/>
      <c r="X1278" s="2"/>
      <c r="Y1278" s="2"/>
      <c r="Z1278" s="2"/>
      <c r="AA1278" s="2"/>
      <c r="AB1278" s="2"/>
      <c r="AC1278" s="2"/>
      <c r="AD1278" s="2"/>
      <c r="AE1278" s="2"/>
      <c r="AF1278" s="2"/>
      <c r="AG1278" s="2"/>
      <c r="AH1278" s="2"/>
      <c r="AI1278" s="2"/>
      <c r="AJ1278" s="2"/>
      <c r="AK1278" s="2"/>
    </row>
    <row r="1279" spans="2:37">
      <c r="B1279" s="2"/>
      <c r="C1279" s="2"/>
      <c r="D1279" s="2"/>
      <c r="E1279" s="2"/>
      <c r="F1279" s="2"/>
      <c r="G1279" s="2"/>
      <c r="H1279" s="2"/>
      <c r="I1279" s="2"/>
      <c r="J1279" s="2"/>
      <c r="K1279" s="2"/>
      <c r="L1279" s="2"/>
      <c r="M1279" s="2"/>
      <c r="N1279" s="2"/>
      <c r="O1279" s="2"/>
      <c r="P1279" s="2"/>
      <c r="Q1279" s="2"/>
      <c r="R1279" s="2"/>
      <c r="S1279" s="2"/>
      <c r="T1279" s="2"/>
      <c r="U1279" s="2"/>
      <c r="V1279" s="2"/>
      <c r="W1279" s="2"/>
      <c r="X1279" s="2"/>
      <c r="Y1279" s="2"/>
      <c r="Z1279" s="2"/>
      <c r="AA1279" s="2"/>
      <c r="AB1279" s="2"/>
      <c r="AC1279" s="2"/>
      <c r="AD1279" s="2"/>
      <c r="AE1279" s="2"/>
      <c r="AF1279" s="2"/>
      <c r="AG1279" s="2"/>
      <c r="AH1279" s="2"/>
      <c r="AI1279" s="2"/>
      <c r="AJ1279" s="2"/>
      <c r="AK1279" s="2"/>
    </row>
    <row r="1280" spans="2:37" ht="18">
      <c r="B1280" s="425" t="s">
        <v>161</v>
      </c>
      <c r="C1280" s="143"/>
      <c r="D1280" s="143"/>
      <c r="E1280" s="143"/>
      <c r="F1280" s="143"/>
      <c r="G1280" s="143"/>
      <c r="H1280" s="143"/>
      <c r="I1280" s="143"/>
      <c r="J1280" s="143"/>
      <c r="K1280" s="143"/>
      <c r="L1280" s="143"/>
      <c r="M1280" s="2"/>
      <c r="N1280" s="2"/>
      <c r="O1280" s="2"/>
      <c r="P1280" s="2"/>
      <c r="Q1280" s="2"/>
      <c r="R1280" s="2"/>
      <c r="S1280" s="2"/>
      <c r="T1280" s="2"/>
      <c r="U1280" s="2"/>
      <c r="V1280" s="2"/>
      <c r="W1280" s="2"/>
      <c r="X1280" s="2"/>
      <c r="Y1280" s="2"/>
      <c r="Z1280" s="2"/>
      <c r="AA1280" s="2"/>
      <c r="AB1280" s="2"/>
      <c r="AC1280" s="2"/>
      <c r="AD1280" s="2"/>
      <c r="AE1280" s="2"/>
      <c r="AF1280" s="2"/>
      <c r="AG1280" s="2"/>
      <c r="AH1280" s="2"/>
      <c r="AI1280" s="2"/>
      <c r="AJ1280" s="2"/>
      <c r="AK1280" s="2"/>
    </row>
    <row r="1281" spans="2:37" ht="18">
      <c r="B1281" s="425" t="s">
        <v>90</v>
      </c>
      <c r="C1281" s="48"/>
      <c r="D1281" s="48"/>
      <c r="E1281" s="48"/>
      <c r="F1281" s="48"/>
      <c r="G1281" s="48"/>
      <c r="H1281" s="48"/>
      <c r="I1281" s="48"/>
      <c r="J1281" s="143"/>
      <c r="K1281" s="143"/>
      <c r="L1281" s="143"/>
      <c r="M1281" s="2"/>
      <c r="N1281" s="2"/>
      <c r="O1281" s="2"/>
      <c r="P1281" s="2"/>
      <c r="Q1281" s="2"/>
      <c r="R1281" s="2"/>
      <c r="S1281" s="2"/>
      <c r="T1281" s="2"/>
      <c r="U1281" s="2"/>
      <c r="V1281" s="2"/>
      <c r="W1281" s="2"/>
      <c r="X1281" s="2"/>
      <c r="Y1281" s="2"/>
      <c r="Z1281" s="2"/>
      <c r="AA1281" s="2"/>
      <c r="AB1281" s="2"/>
      <c r="AC1281" s="2"/>
      <c r="AD1281" s="2"/>
      <c r="AE1281" s="2"/>
      <c r="AF1281" s="2"/>
      <c r="AG1281" s="2"/>
      <c r="AH1281" s="2"/>
      <c r="AI1281" s="2"/>
      <c r="AJ1281" s="2"/>
      <c r="AK1281" s="2"/>
    </row>
    <row r="1282" spans="2:37">
      <c r="B1282" s="48"/>
      <c r="C1282" s="378" t="s">
        <v>1</v>
      </c>
      <c r="D1282" s="379"/>
      <c r="E1282" s="4"/>
      <c r="F1282" s="317"/>
      <c r="G1282" s="4"/>
      <c r="H1282" s="2"/>
      <c r="I1282" s="2"/>
      <c r="J1282" s="2"/>
      <c r="K1282" s="2"/>
      <c r="L1282" s="2"/>
      <c r="M1282" s="2"/>
      <c r="N1282" s="2"/>
      <c r="O1282" s="2"/>
      <c r="P1282" s="2"/>
      <c r="Q1282" s="2"/>
      <c r="R1282" s="2"/>
      <c r="S1282" s="2"/>
      <c r="T1282" s="2"/>
      <c r="U1282" s="2"/>
      <c r="V1282" s="2"/>
      <c r="W1282" s="2"/>
      <c r="X1282" s="2"/>
      <c r="Y1282" s="2"/>
      <c r="Z1282" s="2"/>
      <c r="AA1282" s="2"/>
      <c r="AB1282" s="2"/>
      <c r="AC1282" s="2"/>
      <c r="AD1282" s="2"/>
      <c r="AE1282" s="2"/>
      <c r="AF1282" s="2"/>
      <c r="AG1282" s="2"/>
      <c r="AH1282" s="2"/>
      <c r="AI1282" s="2"/>
      <c r="AJ1282" s="2"/>
      <c r="AK1282" s="2"/>
    </row>
    <row r="1283" spans="2:37">
      <c r="B1283" s="2"/>
      <c r="C1283" s="301" t="s">
        <v>4</v>
      </c>
      <c r="D1283" s="426">
        <f>[1]OpenData!$N$17</f>
        <v>45108</v>
      </c>
      <c r="E1283" s="2"/>
      <c r="G1283" s="711" t="str">
        <f>[1]OpenData!$O$17</f>
        <v>July 1, 2024</v>
      </c>
      <c r="H1283" s="712"/>
      <c r="J1283" s="2"/>
      <c r="K1283" s="713" t="str">
        <f>[1]OpenData!$P$17</f>
        <v>July 1, 2025</v>
      </c>
      <c r="L1283" s="714"/>
      <c r="M1283" s="2"/>
      <c r="N1283" s="2"/>
      <c r="O1283" s="2"/>
      <c r="P1283" s="2"/>
      <c r="Q1283" s="2"/>
      <c r="R1283" s="2"/>
      <c r="S1283" s="2"/>
      <c r="T1283" s="2"/>
      <c r="U1283" s="2"/>
      <c r="V1283" s="2"/>
      <c r="W1283" s="2"/>
      <c r="X1283" s="2"/>
      <c r="Y1283" s="2"/>
      <c r="Z1283" s="2"/>
      <c r="AA1283" s="2"/>
      <c r="AB1283" s="2"/>
      <c r="AC1283" s="2"/>
      <c r="AD1283" s="2"/>
      <c r="AE1283" s="2"/>
      <c r="AF1283" s="2"/>
      <c r="AG1283" s="2"/>
      <c r="AH1283" s="2"/>
      <c r="AI1283" s="2"/>
      <c r="AJ1283" s="2"/>
      <c r="AK1283" s="2"/>
    </row>
    <row r="1284" spans="2:37">
      <c r="B1284" s="1" t="s">
        <v>53</v>
      </c>
      <c r="C1284" s="1"/>
      <c r="D1284" s="400">
        <f>[1]C047!$C$9</f>
        <v>0</v>
      </c>
      <c r="E1284" s="2"/>
      <c r="G1284" s="671">
        <f>[1]C047!$D$9</f>
        <v>0</v>
      </c>
      <c r="H1284" s="653"/>
      <c r="J1284" s="2"/>
      <c r="K1284" s="671">
        <f>[1]C047!$D$47</f>
        <v>0</v>
      </c>
      <c r="L1284" s="653"/>
      <c r="M1284" s="2"/>
      <c r="N1284" s="2"/>
      <c r="O1284" s="2"/>
      <c r="P1284" s="2"/>
      <c r="Q1284" s="2"/>
      <c r="R1284" s="2"/>
      <c r="S1284" s="2"/>
      <c r="T1284" s="2"/>
      <c r="U1284" s="2"/>
      <c r="V1284" s="2"/>
      <c r="W1284" s="2"/>
      <c r="X1284" s="2"/>
      <c r="Y1284" s="2"/>
      <c r="Z1284" s="2"/>
      <c r="AA1284" s="2"/>
      <c r="AB1284" s="2"/>
      <c r="AC1284" s="2"/>
      <c r="AD1284" s="444"/>
      <c r="AE1284" s="2"/>
      <c r="AF1284" s="2"/>
      <c r="AG1284" s="2"/>
      <c r="AH1284" s="2"/>
      <c r="AI1284" s="2"/>
      <c r="AJ1284" s="2"/>
      <c r="AK1284" s="2"/>
    </row>
    <row r="1285" spans="2:37" hidden="1">
      <c r="B1285" s="263" t="s">
        <v>91</v>
      </c>
      <c r="C1285" s="44"/>
      <c r="D1285" s="264">
        <f>SUM(D1284:D1284)</f>
        <v>0</v>
      </c>
      <c r="E1285" s="2"/>
      <c r="G1285" s="709">
        <f>SUM(G1284:G1284)</f>
        <v>0</v>
      </c>
      <c r="H1285" s="710"/>
      <c r="J1285" s="2"/>
      <c r="K1285" s="709">
        <f>K1284</f>
        <v>0</v>
      </c>
      <c r="L1285" s="710"/>
      <c r="M1285" s="2"/>
      <c r="N1285" s="2"/>
      <c r="O1285" s="2"/>
      <c r="P1285" s="2"/>
      <c r="Q1285" s="2"/>
      <c r="R1285" s="2"/>
      <c r="S1285" s="2"/>
      <c r="T1285" s="2"/>
      <c r="U1285" s="2"/>
      <c r="V1285" s="2"/>
      <c r="W1285" s="2"/>
      <c r="X1285" s="2"/>
      <c r="Y1285" s="2"/>
      <c r="Z1285" s="2"/>
      <c r="AA1285" s="2"/>
      <c r="AB1285" s="2"/>
      <c r="AC1285" s="2"/>
      <c r="AD1285" s="444"/>
      <c r="AE1285" s="2"/>
      <c r="AF1285" s="2"/>
      <c r="AG1285" s="2"/>
      <c r="AH1285" s="2"/>
      <c r="AI1285" s="2"/>
      <c r="AJ1285" s="2"/>
      <c r="AK1285" s="2"/>
    </row>
    <row r="1286" spans="2:37">
      <c r="B1286" s="445" t="s">
        <v>19</v>
      </c>
      <c r="C1286" s="445"/>
      <c r="D1286" s="446">
        <f>IF(D1285=0,0,D1285/G1312)</f>
        <v>0</v>
      </c>
      <c r="E1286" s="2"/>
      <c r="G1286" s="707">
        <f>IF(G1285=0,0,G1285/I1312)</f>
        <v>0</v>
      </c>
      <c r="H1286" s="708"/>
      <c r="J1286" s="2"/>
      <c r="K1286" s="707">
        <f>IF(K1285=0,0,K1285/K1312)</f>
        <v>0</v>
      </c>
      <c r="L1286" s="708"/>
      <c r="M1286" s="2"/>
      <c r="N1286" s="2"/>
      <c r="O1286" s="2"/>
      <c r="P1286" s="2"/>
      <c r="Q1286" s="2"/>
      <c r="R1286" s="2"/>
      <c r="S1286" s="2"/>
      <c r="T1286" s="2"/>
      <c r="U1286" s="2"/>
      <c r="V1286" s="2"/>
      <c r="W1286" s="2"/>
      <c r="X1286" s="2"/>
      <c r="Y1286" s="2"/>
      <c r="Z1286" s="2"/>
      <c r="AA1286" s="2"/>
      <c r="AB1286" s="2"/>
      <c r="AC1286" s="2"/>
      <c r="AD1286" s="444"/>
      <c r="AE1286" s="2"/>
      <c r="AF1286" s="2"/>
      <c r="AG1286" s="2"/>
      <c r="AH1286" s="444"/>
      <c r="AI1286" s="447"/>
      <c r="AJ1286" s="2"/>
      <c r="AK1286" s="2"/>
    </row>
    <row r="1287" spans="2:37" ht="6.75" customHeight="1">
      <c r="B1287" s="2"/>
      <c r="C1287" s="2"/>
      <c r="D1287" s="2"/>
      <c r="E1287" s="2"/>
      <c r="F1287" s="2"/>
      <c r="G1287" s="2"/>
      <c r="H1287" s="2"/>
      <c r="I1287" s="2"/>
      <c r="J1287" s="2"/>
      <c r="K1287" s="2"/>
      <c r="L1287" s="2"/>
      <c r="M1287" s="2"/>
      <c r="N1287" s="2"/>
      <c r="O1287" s="2"/>
      <c r="P1287" s="2"/>
      <c r="Q1287" s="2"/>
      <c r="R1287" s="2"/>
      <c r="S1287" s="2"/>
      <c r="T1287" s="2"/>
      <c r="U1287" s="2"/>
      <c r="V1287" s="2"/>
      <c r="W1287" s="2"/>
      <c r="X1287" s="2"/>
      <c r="Y1287" s="2"/>
      <c r="Z1287" s="2"/>
      <c r="AA1287" s="2"/>
      <c r="AB1287" s="444"/>
      <c r="AC1287" s="2"/>
      <c r="AD1287" s="444"/>
      <c r="AE1287" s="2"/>
      <c r="AF1287" s="444"/>
      <c r="AG1287" s="444"/>
      <c r="AH1287" s="2"/>
      <c r="AI1287" s="2"/>
    </row>
    <row r="1288" spans="2:37">
      <c r="B1288" s="448" t="s">
        <v>145</v>
      </c>
      <c r="C1288" s="2"/>
      <c r="D1288" s="2"/>
      <c r="E1288" s="2"/>
      <c r="F1288" s="2"/>
      <c r="G1288" s="2"/>
      <c r="H1288" s="2"/>
      <c r="I1288" s="2"/>
      <c r="J1288" s="2"/>
      <c r="K1288" s="2"/>
      <c r="L1288" s="2"/>
      <c r="M1288" s="2"/>
      <c r="N1288" s="2"/>
      <c r="O1288" s="2"/>
      <c r="P1288" s="2"/>
      <c r="Q1288" s="2"/>
      <c r="R1288" s="2"/>
      <c r="S1288" s="2"/>
      <c r="T1288" s="2"/>
      <c r="U1288" s="2"/>
      <c r="V1288" s="2"/>
      <c r="W1288" s="2"/>
      <c r="X1288" s="2"/>
      <c r="Y1288" s="2"/>
      <c r="Z1288" s="2"/>
      <c r="AA1288" s="2"/>
      <c r="AB1288" s="444"/>
      <c r="AC1288" s="2"/>
      <c r="AD1288" s="444"/>
      <c r="AE1288" s="2"/>
      <c r="AF1288" s="59"/>
      <c r="AG1288" s="165"/>
      <c r="AH1288" s="165"/>
      <c r="AI1288" s="2"/>
    </row>
    <row r="1289" spans="2:37" ht="30" customHeight="1">
      <c r="B1289" s="864" t="s">
        <v>155</v>
      </c>
      <c r="C1289" s="864"/>
      <c r="D1289" s="864"/>
      <c r="E1289" s="864"/>
      <c r="F1289" s="864"/>
      <c r="G1289" s="864"/>
      <c r="H1289" s="864"/>
      <c r="I1289" s="864"/>
      <c r="J1289" s="864"/>
      <c r="K1289" s="864"/>
      <c r="L1289" s="864"/>
      <c r="M1289" s="2"/>
      <c r="N1289" s="2"/>
      <c r="O1289" s="2"/>
      <c r="P1289" s="2"/>
      <c r="Q1289" s="2"/>
      <c r="R1289" s="2"/>
      <c r="S1289" s="2"/>
      <c r="T1289" s="2"/>
      <c r="U1289" s="2"/>
      <c r="V1289" s="2"/>
      <c r="W1289" s="2"/>
      <c r="X1289" s="2"/>
      <c r="Y1289" s="2"/>
      <c r="Z1289" s="167"/>
      <c r="AA1289" s="2"/>
      <c r="AB1289" s="444"/>
      <c r="AC1289" s="2"/>
      <c r="AD1289" s="444"/>
      <c r="AE1289" s="2"/>
      <c r="AF1289" s="59"/>
      <c r="AG1289" s="165"/>
      <c r="AH1289" s="165"/>
      <c r="AI1289" s="2"/>
    </row>
    <row r="1290" spans="2:37">
      <c r="B1290" s="202"/>
      <c r="C1290" s="2"/>
      <c r="D1290" s="2"/>
      <c r="E1290" s="2"/>
      <c r="F1290" s="2"/>
      <c r="G1290" s="2"/>
      <c r="H1290" s="2"/>
      <c r="I1290" s="2"/>
      <c r="J1290" s="2"/>
      <c r="K1290" s="2"/>
      <c r="L1290" s="2"/>
      <c r="M1290" s="2"/>
      <c r="N1290" s="2"/>
      <c r="O1290" s="2"/>
      <c r="P1290" s="2"/>
      <c r="Q1290" s="2"/>
      <c r="R1290" s="2"/>
      <c r="S1290" s="449"/>
      <c r="T1290" s="449"/>
      <c r="U1290" s="449"/>
      <c r="V1290" s="2"/>
      <c r="W1290" s="2"/>
      <c r="X1290" s="2"/>
      <c r="Y1290" s="2"/>
      <c r="Z1290" s="2"/>
      <c r="AA1290" s="2"/>
      <c r="AB1290" s="444"/>
      <c r="AC1290" s="2"/>
      <c r="AD1290" s="444"/>
      <c r="AE1290" s="2"/>
      <c r="AF1290" s="59"/>
      <c r="AG1290" s="165"/>
      <c r="AH1290" s="165"/>
      <c r="AI1290" s="2"/>
    </row>
    <row r="1291" spans="2:37">
      <c r="M1291" s="2"/>
      <c r="N1291" s="2"/>
      <c r="O1291" s="2"/>
      <c r="P1291" s="2"/>
      <c r="Q1291" s="2"/>
      <c r="AF1291" s="450"/>
      <c r="AG1291" s="168"/>
      <c r="AH1291" s="168"/>
      <c r="AI1291" s="167"/>
      <c r="AJ1291" s="89"/>
    </row>
    <row r="1292" spans="2:37">
      <c r="M1292" s="2"/>
      <c r="N1292" s="2"/>
      <c r="O1292" s="2"/>
      <c r="P1292" s="2"/>
      <c r="Q1292" s="2"/>
      <c r="AF1292" s="450"/>
      <c r="AG1292" s="168"/>
      <c r="AH1292" s="168"/>
      <c r="AI1292" s="167"/>
    </row>
    <row r="1293" spans="2:37">
      <c r="M1293" s="2"/>
      <c r="N1293" s="2"/>
      <c r="O1293" s="2"/>
      <c r="P1293" s="2"/>
      <c r="Q1293" s="2"/>
      <c r="AF1293" s="59"/>
      <c r="AG1293" s="165"/>
      <c r="AH1293" s="165"/>
      <c r="AI1293" s="2"/>
    </row>
    <row r="1294" spans="2:37">
      <c r="M1294" s="2"/>
      <c r="N1294" s="2"/>
      <c r="AF1294" s="59"/>
      <c r="AG1294" s="165"/>
      <c r="AH1294" s="165"/>
      <c r="AI1294" s="2"/>
    </row>
    <row r="1295" spans="2:37">
      <c r="M1295" s="2"/>
      <c r="N1295" s="2"/>
      <c r="AF1295" s="59"/>
      <c r="AG1295" s="165"/>
      <c r="AH1295" s="165"/>
      <c r="AI1295" s="2"/>
    </row>
    <row r="1296" spans="2:37">
      <c r="M1296" s="2"/>
      <c r="N1296" s="2"/>
      <c r="AF1296" s="59"/>
      <c r="AG1296" s="165"/>
      <c r="AH1296" s="165"/>
      <c r="AI1296" s="2"/>
    </row>
    <row r="1297" spans="2:37">
      <c r="M1297" s="2"/>
      <c r="N1297" s="2"/>
      <c r="O1297" s="2"/>
      <c r="P1297" s="2"/>
      <c r="Q1297" s="2"/>
      <c r="R1297" s="2"/>
      <c r="S1297" s="2"/>
      <c r="AH1297" s="59"/>
      <c r="AI1297" s="165"/>
    </row>
    <row r="1298" spans="2:37">
      <c r="M1298" s="2"/>
    </row>
    <row r="1299" spans="2:37">
      <c r="M1299" s="2"/>
    </row>
    <row r="1300" spans="2:37">
      <c r="B1300" s="2"/>
      <c r="C1300" s="2"/>
      <c r="D1300" s="2"/>
      <c r="E1300" s="2"/>
      <c r="F1300" s="2"/>
      <c r="G1300" s="2"/>
      <c r="H1300" s="2"/>
      <c r="I1300" s="2"/>
      <c r="J1300" s="2"/>
      <c r="K1300" s="2"/>
      <c r="L1300" s="2"/>
      <c r="M1300" s="2"/>
    </row>
    <row r="1301" spans="2:37">
      <c r="B1301" s="2"/>
      <c r="C1301" s="2"/>
      <c r="D1301" s="2"/>
      <c r="E1301" s="2"/>
      <c r="F1301" s="2"/>
      <c r="G1301" s="2"/>
      <c r="H1301" s="2"/>
      <c r="I1301" s="2"/>
      <c r="J1301" s="2"/>
      <c r="K1301" s="2"/>
      <c r="L1301" s="2"/>
      <c r="M1301" s="2"/>
      <c r="N1301" s="2"/>
      <c r="O1301" s="2"/>
      <c r="P1301" s="2"/>
      <c r="Q1301" s="2"/>
      <c r="R1301" s="2"/>
      <c r="S1301" s="2"/>
      <c r="AK1301" s="2"/>
    </row>
    <row r="1302" spans="2:37">
      <c r="B1302" s="2"/>
      <c r="C1302" s="2"/>
      <c r="D1302" s="2"/>
      <c r="E1302" s="2"/>
      <c r="F1302" s="2"/>
      <c r="G1302" s="2"/>
      <c r="H1302" s="2"/>
      <c r="I1302" s="2"/>
      <c r="J1302" s="2"/>
      <c r="K1302" s="2"/>
      <c r="L1302" s="2"/>
      <c r="M1302" s="2"/>
      <c r="N1302" s="2"/>
      <c r="O1302" s="2"/>
      <c r="P1302" s="2"/>
      <c r="Q1302" s="2"/>
      <c r="R1302" s="2"/>
      <c r="S1302" s="2"/>
      <c r="AK1302" s="2"/>
    </row>
    <row r="1303" spans="2:37">
      <c r="B1303" s="2"/>
      <c r="C1303" s="2"/>
      <c r="D1303" s="2"/>
      <c r="E1303" s="2"/>
      <c r="F1303" s="2"/>
      <c r="G1303" s="2"/>
      <c r="H1303" s="2"/>
      <c r="I1303" s="2"/>
      <c r="J1303" s="2"/>
      <c r="K1303" s="2"/>
      <c r="L1303" s="2"/>
      <c r="M1303" s="2"/>
      <c r="N1303" s="2"/>
      <c r="O1303" s="2"/>
      <c r="P1303" s="2"/>
      <c r="Q1303" s="2"/>
      <c r="R1303" s="2"/>
      <c r="S1303" s="2"/>
      <c r="AK1303" s="2"/>
    </row>
    <row r="1304" spans="2:37">
      <c r="B1304" s="2"/>
      <c r="C1304" s="2"/>
      <c r="D1304" s="2"/>
      <c r="E1304" s="2"/>
      <c r="F1304" s="2"/>
      <c r="G1304" s="2"/>
      <c r="H1304" s="2"/>
      <c r="I1304" s="2"/>
      <c r="J1304" s="2"/>
      <c r="K1304" s="2"/>
      <c r="L1304" s="2"/>
      <c r="M1304" s="2"/>
      <c r="AK1304" s="2"/>
    </row>
    <row r="1305" spans="2:37">
      <c r="B1305" s="2"/>
      <c r="C1305" s="2"/>
      <c r="D1305" s="2"/>
      <c r="E1305" s="2"/>
      <c r="F1305" s="2"/>
      <c r="G1305" s="2"/>
      <c r="H1305" s="2"/>
      <c r="I1305" s="2"/>
      <c r="J1305" s="2"/>
      <c r="K1305" s="2"/>
      <c r="L1305" s="2"/>
      <c r="M1305" s="2"/>
      <c r="AK1305" s="2"/>
    </row>
    <row r="1306" spans="2:37">
      <c r="B1306" s="2"/>
      <c r="C1306" s="2"/>
      <c r="D1306" s="2"/>
      <c r="E1306" s="2"/>
      <c r="F1306" s="2"/>
      <c r="G1306" s="2"/>
      <c r="H1306" s="2"/>
      <c r="I1306" s="2"/>
      <c r="J1306" s="2"/>
      <c r="K1306" s="2"/>
      <c r="L1306" s="2"/>
      <c r="M1306" s="2"/>
      <c r="AK1306" s="2"/>
    </row>
    <row r="1307" spans="2:37" ht="18">
      <c r="B1307" s="211" t="s">
        <v>92</v>
      </c>
      <c r="C1307" s="47"/>
      <c r="D1307" s="47"/>
      <c r="E1307" s="144"/>
      <c r="F1307" s="47"/>
      <c r="G1307" s="47"/>
      <c r="H1307" s="47"/>
      <c r="I1307" s="47"/>
      <c r="J1307" s="47"/>
      <c r="K1307" s="47"/>
      <c r="L1307" s="47"/>
      <c r="M1307" s="2"/>
      <c r="N1307" s="2"/>
      <c r="O1307" s="2"/>
      <c r="P1307" s="2"/>
      <c r="Q1307" s="2"/>
      <c r="R1307" s="2"/>
      <c r="S1307" s="2"/>
      <c r="AK1307" s="2"/>
    </row>
    <row r="1308" spans="2:37">
      <c r="B1308" s="2"/>
      <c r="C1308" s="42" t="s">
        <v>1</v>
      </c>
      <c r="L1308" s="380"/>
      <c r="M1308" s="2"/>
      <c r="N1308" s="2"/>
      <c r="O1308" s="2"/>
      <c r="P1308" s="2"/>
      <c r="Q1308" s="2"/>
      <c r="R1308" s="2"/>
      <c r="S1308" s="2"/>
      <c r="AK1308" s="2"/>
    </row>
    <row r="1309" spans="2:37">
      <c r="B1309" s="2"/>
      <c r="C1309" s="43"/>
      <c r="D1309" s="451" t="str">
        <f>[1]OpenData!$R$4</f>
        <v>2021-2022</v>
      </c>
      <c r="E1309" s="451" t="str">
        <f>[1]OpenData!$S$4</f>
        <v>2022-2023</v>
      </c>
      <c r="F1309" s="216" t="s">
        <v>2</v>
      </c>
      <c r="G1309" s="451" t="str">
        <f>[1]OpenData!$N$4</f>
        <v>2023-2024</v>
      </c>
      <c r="H1309" s="216" t="s">
        <v>2</v>
      </c>
      <c r="I1309" s="452" t="str">
        <f>[1]OpenData!$O$4</f>
        <v>2024-2025</v>
      </c>
      <c r="J1309" s="219" t="s">
        <v>2</v>
      </c>
      <c r="K1309" s="452" t="str">
        <f>[1]OpenData!$P$4</f>
        <v>2025-2026</v>
      </c>
      <c r="L1309" s="219" t="s">
        <v>2</v>
      </c>
      <c r="M1309" s="59"/>
      <c r="N1309" s="59"/>
      <c r="O1309" s="2"/>
      <c r="P1309" s="2"/>
      <c r="Q1309" s="2"/>
      <c r="R1309" s="2"/>
      <c r="S1309" s="2"/>
      <c r="AK1309" s="2"/>
    </row>
    <row r="1310" spans="2:37">
      <c r="B1310" s="2"/>
      <c r="C1310" s="301" t="s">
        <v>4</v>
      </c>
      <c r="D1310" s="453" t="s">
        <v>5</v>
      </c>
      <c r="E1310" s="453" t="s">
        <v>5</v>
      </c>
      <c r="F1310" s="454" t="s">
        <v>144</v>
      </c>
      <c r="G1310" s="453" t="s">
        <v>5</v>
      </c>
      <c r="H1310" s="454" t="s">
        <v>144</v>
      </c>
      <c r="I1310" s="453" t="s">
        <v>5</v>
      </c>
      <c r="J1310" s="454" t="s">
        <v>144</v>
      </c>
      <c r="K1310" s="453" t="s">
        <v>6</v>
      </c>
      <c r="L1310" s="454" t="s">
        <v>144</v>
      </c>
      <c r="M1310" s="59"/>
      <c r="AK1310" s="2"/>
    </row>
    <row r="1311" spans="2:37" ht="15.75">
      <c r="B1311" s="223" t="s">
        <v>183</v>
      </c>
      <c r="C1311" s="229"/>
      <c r="D1311" s="455">
        <f>VLOOKUP($L$1,[1]DATA1!$A$4:$BQ$289,32,FALSE)</f>
        <v>99</v>
      </c>
      <c r="E1311" s="455">
        <f>VLOOKUP($L$1,[1]DATA1!$A$4:$BQ$289,33,FALSE)</f>
        <v>67.5</v>
      </c>
      <c r="F1311" s="456">
        <f>IF(D1311=0,0,((E1311-D1311)/D1311))</f>
        <v>-0.32</v>
      </c>
      <c r="G1311" s="455">
        <f>VLOOKUP($L$1,[1]DATA1!$A$4:$BQ$289,34,FALSE)</f>
        <v>70.7</v>
      </c>
      <c r="H1311" s="456">
        <f>IF(E1311=0,0,((G1311-E1311)/E1311))</f>
        <v>0.05</v>
      </c>
      <c r="I1311" s="455">
        <f>VLOOKUP($L$1,[1]DATA1!$A$4:$BQ$289,35,FALSE)</f>
        <v>82.5</v>
      </c>
      <c r="J1311" s="456">
        <f>IF(G1311=0,0,((I1311-G1311)/G1311))</f>
        <v>0.17</v>
      </c>
      <c r="K1311" s="457">
        <f>[1]OPEN!$A$47+[1]OPEN!$A$49+[1]OPEN!$A$72+[1]OPEN!$A$73</f>
        <v>70</v>
      </c>
      <c r="L1311" s="456">
        <f>IF(I1311=0,0,((K1311-I1311)/I1311))</f>
        <v>-0.15</v>
      </c>
      <c r="M1311" s="2"/>
      <c r="AK1311" s="2"/>
    </row>
    <row r="1312" spans="2:37" ht="15.75">
      <c r="B1312" s="44" t="s">
        <v>184</v>
      </c>
      <c r="C1312" s="44"/>
      <c r="D1312" s="639">
        <f>[1]OPEN!$A$148</f>
        <v>99</v>
      </c>
      <c r="E1312" s="458">
        <f>[1]OPEN!$A$149</f>
        <v>67.5</v>
      </c>
      <c r="F1312" s="247">
        <f>IF(D1312=0,0,((E1312-D1312)/D1312))</f>
        <v>-0.32</v>
      </c>
      <c r="G1312" s="458">
        <f>[1]OPEN!$A$150</f>
        <v>70.7</v>
      </c>
      <c r="H1312" s="247">
        <f>IF(E1312=0,0,((G1312-E1312)/E1312))</f>
        <v>0.05</v>
      </c>
      <c r="I1312" s="458">
        <f>[1]OPEN!$A$151</f>
        <v>82.5</v>
      </c>
      <c r="J1312" s="247">
        <f>IF(G1312=0,0,((I1312-G1312)/G1312))</f>
        <v>0.17</v>
      </c>
      <c r="K1312" s="419">
        <f>[1]OPEN!$A$152</f>
        <v>70</v>
      </c>
      <c r="L1312" s="247">
        <f>IF(I1312=0,0,((K1312-I1312)/I1312))</f>
        <v>-0.15</v>
      </c>
      <c r="M1312" s="201"/>
      <c r="N1312" s="201"/>
      <c r="O1312" s="2"/>
      <c r="P1312" s="2"/>
      <c r="Q1312" s="2"/>
      <c r="R1312" s="2"/>
      <c r="S1312" s="2"/>
      <c r="AK1312" s="2"/>
    </row>
    <row r="1313" spans="2:37">
      <c r="B1313" s="229" t="s">
        <v>148</v>
      </c>
      <c r="C1313" s="236"/>
      <c r="D1313" s="459">
        <f>VLOOKUP($L$1,[1]DATA1!$A$4:$BQ$289,64,FALSE)</f>
        <v>40</v>
      </c>
      <c r="E1313" s="459">
        <f>VLOOKUP($L$1,[1]DATA1!$A$4:$BQ$289,65,FALSE)</f>
        <v>39</v>
      </c>
      <c r="F1313" s="456">
        <f>IF(D1313=0,0,((E1313-D1313)/D1313))</f>
        <v>-0.03</v>
      </c>
      <c r="G1313" s="459">
        <f>VLOOKUP($L$1,[1]DATA1!$A$4:$BQ$289,66,FALSE)</f>
        <v>35</v>
      </c>
      <c r="H1313" s="456">
        <f>IF(E1313=0,0,((G1313-E1313)/E1313))</f>
        <v>-0.1</v>
      </c>
      <c r="I1313" s="459">
        <f>VLOOKUP($L$1,[1]DATA1!$A$4:$BQ$289,24,FALSE)</f>
        <v>40</v>
      </c>
      <c r="J1313" s="456">
        <f>IF(G1313=0,0,((I1313-G1313)/G1313))</f>
        <v>0.14000000000000001</v>
      </c>
      <c r="K1313" s="459">
        <f>[1]OPEN!$A$50</f>
        <v>35</v>
      </c>
      <c r="L1313" s="456">
        <f>IF(I1313=0,0,((K1313-I1313)/I1313))</f>
        <v>-0.13</v>
      </c>
      <c r="M1313" s="201"/>
      <c r="N1313" s="201"/>
      <c r="O1313" s="2"/>
      <c r="P1313" s="2"/>
      <c r="Q1313" s="2"/>
      <c r="R1313" s="2"/>
      <c r="S1313" s="2"/>
      <c r="AK1313" s="2"/>
    </row>
    <row r="1314" spans="2:37">
      <c r="B1314" s="44" t="s">
        <v>146</v>
      </c>
      <c r="C1314" s="44"/>
      <c r="D1314" s="460">
        <f>VLOOKUP($L$1,[1]DATA1!$A$4:$BQ$289,67,FALSE)</f>
        <v>25</v>
      </c>
      <c r="E1314" s="460">
        <f>VLOOKUP($L$1,[1]DATA1!$A$4:$BQ$289,68,FALSE)</f>
        <v>3</v>
      </c>
      <c r="F1314" s="247">
        <f>IF(D1314=0,0,((E1314-D1314)/D1314))</f>
        <v>-0.88</v>
      </c>
      <c r="G1314" s="638">
        <f>VLOOKUP($L$1,[1]DATA1!$A$4:$BQ$289,69,FALSE)</f>
        <v>5</v>
      </c>
      <c r="H1314" s="247">
        <f>IF(E1314=0,0,((G1314-E1314)/E1314))</f>
        <v>0.67</v>
      </c>
      <c r="I1314" s="460">
        <f>VLOOKUP($L$1,[1]DATA1!$A$4:$BQ$289,25,FALSE)</f>
        <v>10</v>
      </c>
      <c r="J1314" s="247">
        <f>IF(G1314=0,0,((I1314-G1314)/G1314))</f>
        <v>1</v>
      </c>
      <c r="K1314" s="460">
        <f>[1]OPEN!$A$158</f>
        <v>10</v>
      </c>
      <c r="L1314" s="247">
        <f>IF(I1314=0,0,((K1314-I1314)/I1314))</f>
        <v>0</v>
      </c>
      <c r="M1314" s="2"/>
      <c r="AK1314" s="2"/>
    </row>
    <row r="1315" spans="2:37" ht="6.75" customHeight="1">
      <c r="B1315" s="2"/>
      <c r="C1315" s="2"/>
      <c r="D1315" s="2"/>
      <c r="E1315" s="2"/>
      <c r="F1315" s="2"/>
      <c r="G1315" s="2"/>
      <c r="H1315" s="2"/>
      <c r="I1315" s="2"/>
      <c r="J1315" s="2"/>
      <c r="K1315" s="2"/>
      <c r="L1315" s="2"/>
      <c r="M1315" s="201"/>
      <c r="AK1315" s="2"/>
    </row>
    <row r="1316" spans="2:37" ht="28.5" customHeight="1">
      <c r="B1316" s="865" t="s">
        <v>191</v>
      </c>
      <c r="C1316" s="865"/>
      <c r="D1316" s="865"/>
      <c r="E1316" s="865"/>
      <c r="F1316" s="865"/>
      <c r="G1316" s="865"/>
      <c r="H1316" s="865"/>
      <c r="I1316" s="865"/>
      <c r="J1316" s="865"/>
      <c r="K1316" s="865"/>
      <c r="L1316" s="865"/>
      <c r="M1316" s="2"/>
      <c r="O1316" s="2" t="s">
        <v>81</v>
      </c>
      <c r="P1316" s="2"/>
      <c r="Q1316" s="2"/>
      <c r="R1316" s="2"/>
      <c r="S1316" s="2"/>
      <c r="T1316" s="2"/>
      <c r="AK1316" s="2"/>
    </row>
    <row r="1317" spans="2:37">
      <c r="B1317" s="203"/>
      <c r="C1317" s="2"/>
      <c r="D1317" s="2"/>
      <c r="E1317" s="2"/>
      <c r="F1317" s="2"/>
      <c r="G1317" s="2"/>
      <c r="H1317" s="2"/>
      <c r="I1317" s="2"/>
      <c r="J1317" s="2"/>
      <c r="K1317" s="2"/>
      <c r="L1317" s="2"/>
      <c r="M1317" s="2"/>
      <c r="O1317" s="2"/>
      <c r="P1317" s="82" t="str">
        <f t="shared" ref="P1317:T1318" si="104">P1329</f>
        <v>2021-2022</v>
      </c>
      <c r="Q1317" s="82" t="str">
        <f t="shared" si="104"/>
        <v>2022-2023</v>
      </c>
      <c r="R1317" s="82" t="str">
        <f t="shared" si="104"/>
        <v>2023-2024</v>
      </c>
      <c r="S1317" s="82" t="str">
        <f t="shared" si="104"/>
        <v>2024-2025</v>
      </c>
      <c r="T1317" s="82" t="str">
        <f t="shared" si="104"/>
        <v>2025-2026</v>
      </c>
      <c r="AK1317" s="2"/>
    </row>
    <row r="1318" spans="2:37">
      <c r="B1318" s="2"/>
      <c r="C1318" s="2"/>
      <c r="D1318" s="2"/>
      <c r="E1318" s="2"/>
      <c r="F1318" s="2"/>
      <c r="G1318" s="2"/>
      <c r="H1318" s="2"/>
      <c r="I1318" s="2"/>
      <c r="J1318" s="2"/>
      <c r="K1318" s="2"/>
      <c r="L1318" s="2"/>
      <c r="M1318" s="2"/>
      <c r="N1318" s="2"/>
      <c r="O1318" s="140" t="str">
        <f>O1330</f>
        <v>FTE Enrollment (excl. Virtual)¹</v>
      </c>
      <c r="P1318" s="461">
        <f t="shared" si="104"/>
        <v>99</v>
      </c>
      <c r="Q1318" s="461">
        <f t="shared" si="104"/>
        <v>67.5</v>
      </c>
      <c r="R1318" s="461">
        <f t="shared" si="104"/>
        <v>70.7</v>
      </c>
      <c r="S1318" s="461">
        <f t="shared" si="104"/>
        <v>82.5</v>
      </c>
      <c r="T1318" s="461">
        <f t="shared" si="104"/>
        <v>70</v>
      </c>
      <c r="AK1318" s="2"/>
    </row>
    <row r="1319" spans="2:37">
      <c r="B1319" s="2"/>
      <c r="C1319" s="2"/>
      <c r="D1319" s="2"/>
      <c r="E1319" s="2"/>
      <c r="F1319" s="2"/>
      <c r="G1319" s="2"/>
      <c r="H1319" s="2"/>
      <c r="I1319" s="2"/>
      <c r="J1319" s="2"/>
      <c r="K1319" s="2"/>
      <c r="L1319" s="2"/>
      <c r="M1319" s="2"/>
      <c r="N1319" s="2"/>
      <c r="O1319" s="140" t="str">
        <f t="shared" ref="O1319:T1320" si="105">O1363</f>
        <v>Free Meal Student Headcount</v>
      </c>
      <c r="P1319" s="376">
        <f t="shared" si="105"/>
        <v>40</v>
      </c>
      <c r="Q1319" s="376">
        <f t="shared" si="105"/>
        <v>39</v>
      </c>
      <c r="R1319" s="376">
        <f t="shared" si="105"/>
        <v>35</v>
      </c>
      <c r="S1319" s="376">
        <f t="shared" si="105"/>
        <v>40</v>
      </c>
      <c r="T1319" s="376">
        <f t="shared" si="105"/>
        <v>35</v>
      </c>
      <c r="AK1319" s="2"/>
    </row>
    <row r="1320" spans="2:37">
      <c r="B1320" s="2"/>
      <c r="C1320" s="2"/>
      <c r="D1320" s="2"/>
      <c r="E1320" s="2"/>
      <c r="F1320" s="2"/>
      <c r="G1320" s="2"/>
      <c r="H1320" s="2"/>
      <c r="I1320" s="2"/>
      <c r="J1320" s="2"/>
      <c r="K1320" s="2"/>
      <c r="L1320" s="2"/>
      <c r="M1320" s="2"/>
      <c r="N1320" s="2"/>
      <c r="O1320" s="140" t="str">
        <f t="shared" si="105"/>
        <v>Reduced Meal Student Headcount</v>
      </c>
      <c r="P1320" s="376">
        <f t="shared" si="105"/>
        <v>25</v>
      </c>
      <c r="Q1320" s="376">
        <f t="shared" si="105"/>
        <v>3</v>
      </c>
      <c r="R1320" s="376">
        <f t="shared" si="105"/>
        <v>5</v>
      </c>
      <c r="S1320" s="376">
        <f t="shared" si="105"/>
        <v>10</v>
      </c>
      <c r="T1320" s="376">
        <f t="shared" si="105"/>
        <v>10</v>
      </c>
      <c r="AK1320" s="2"/>
    </row>
    <row r="1321" spans="2:37">
      <c r="B1321" s="2"/>
      <c r="C1321" s="2"/>
      <c r="D1321" s="2"/>
      <c r="E1321" s="2"/>
      <c r="F1321" s="2"/>
      <c r="G1321" s="2"/>
      <c r="H1321" s="2"/>
      <c r="I1321" s="2"/>
      <c r="J1321" s="2"/>
      <c r="K1321" s="2"/>
      <c r="L1321" s="2"/>
      <c r="M1321" s="2"/>
      <c r="N1321" s="2"/>
      <c r="O1321" s="140" t="str">
        <f t="shared" ref="O1321:T1321" si="106">O1346</f>
        <v>FTE Enrollment (incl. Virtual)¹</v>
      </c>
      <c r="P1321" s="461">
        <f t="shared" si="106"/>
        <v>99</v>
      </c>
      <c r="Q1321" s="461">
        <f t="shared" si="106"/>
        <v>67.5</v>
      </c>
      <c r="R1321" s="461">
        <f t="shared" si="106"/>
        <v>70.7</v>
      </c>
      <c r="S1321" s="461">
        <f t="shared" si="106"/>
        <v>82.5</v>
      </c>
      <c r="T1321" s="461">
        <f t="shared" si="106"/>
        <v>70</v>
      </c>
      <c r="AK1321" s="2"/>
    </row>
    <row r="1322" spans="2:37">
      <c r="B1322" s="2"/>
      <c r="C1322" s="2"/>
      <c r="D1322" s="2"/>
      <c r="E1322" s="2"/>
      <c r="F1322" s="2"/>
      <c r="G1322" s="2"/>
      <c r="H1322" s="2"/>
      <c r="I1322" s="2"/>
      <c r="J1322" s="2"/>
      <c r="K1322" s="2"/>
      <c r="L1322" s="2"/>
      <c r="M1322" s="2"/>
      <c r="N1322" s="2"/>
      <c r="O1322" s="2" t="s">
        <v>83</v>
      </c>
      <c r="P1322" s="376">
        <f>SUM(P1319:P1320)</f>
        <v>65</v>
      </c>
      <c r="Q1322" s="376">
        <f>SUM(Q1319:Q1320)</f>
        <v>42</v>
      </c>
      <c r="R1322" s="376">
        <f>SUM(R1319:R1320)</f>
        <v>40</v>
      </c>
      <c r="S1322" s="376">
        <f>SUM(S1319:S1320)</f>
        <v>50</v>
      </c>
      <c r="T1322" s="376">
        <f>SUM(T1319:T1320)</f>
        <v>45</v>
      </c>
      <c r="AK1322" s="2"/>
    </row>
    <row r="1323" spans="2:37">
      <c r="B1323" s="2"/>
      <c r="C1323" s="2"/>
      <c r="D1323" s="2"/>
      <c r="E1323" s="2"/>
      <c r="F1323" s="2"/>
      <c r="G1323" s="2"/>
      <c r="H1323" s="2"/>
      <c r="I1323" s="2"/>
      <c r="J1323" s="2"/>
      <c r="K1323" s="2"/>
      <c r="L1323" s="2"/>
      <c r="M1323" s="2"/>
      <c r="N1323" s="2"/>
      <c r="AK1323" s="2"/>
    </row>
    <row r="1324" spans="2:37">
      <c r="B1324" s="2"/>
      <c r="C1324" s="2"/>
      <c r="D1324" s="2"/>
      <c r="E1324" s="2"/>
      <c r="F1324" s="2"/>
      <c r="G1324" s="2"/>
      <c r="H1324" s="2"/>
      <c r="I1324" s="2"/>
      <c r="J1324" s="2"/>
      <c r="K1324" s="2"/>
      <c r="L1324" s="2"/>
      <c r="M1324" s="2"/>
      <c r="N1324" s="2"/>
      <c r="AK1324" s="2"/>
    </row>
    <row r="1325" spans="2:37">
      <c r="B1325" s="2"/>
      <c r="C1325" s="2"/>
      <c r="D1325" s="2"/>
      <c r="E1325" s="2"/>
      <c r="F1325" s="2"/>
      <c r="G1325" s="2"/>
      <c r="H1325" s="2"/>
      <c r="I1325" s="2"/>
      <c r="J1325" s="2"/>
      <c r="K1325" s="2"/>
      <c r="L1325" s="2"/>
      <c r="M1325" s="2"/>
      <c r="AK1325" s="2"/>
    </row>
    <row r="1326" spans="2:37">
      <c r="B1326" s="2"/>
      <c r="C1326" s="2"/>
      <c r="D1326" s="2"/>
      <c r="E1326" s="2"/>
      <c r="F1326" s="2"/>
      <c r="G1326" s="2"/>
      <c r="H1326" s="2"/>
      <c r="I1326" s="2"/>
      <c r="J1326" s="2"/>
      <c r="K1326" s="2"/>
      <c r="L1326" s="2"/>
      <c r="M1326" s="2"/>
      <c r="AK1326" s="2"/>
    </row>
    <row r="1327" spans="2:37">
      <c r="B1327" s="2"/>
      <c r="C1327" s="2"/>
      <c r="D1327" s="2"/>
      <c r="E1327" s="2"/>
      <c r="F1327" s="2"/>
      <c r="G1327" s="2"/>
      <c r="H1327" s="2"/>
      <c r="I1327" s="2"/>
      <c r="J1327" s="2"/>
      <c r="K1327" s="2"/>
      <c r="L1327" s="2"/>
      <c r="M1327" s="2"/>
      <c r="AK1327" s="2"/>
    </row>
    <row r="1328" spans="2:37">
      <c r="B1328" s="2"/>
      <c r="C1328" s="2"/>
      <c r="D1328" s="2"/>
      <c r="E1328" s="2"/>
      <c r="F1328" s="2"/>
      <c r="G1328" s="2"/>
      <c r="H1328" s="2"/>
      <c r="I1328" s="2"/>
      <c r="J1328" s="2"/>
      <c r="K1328" s="2"/>
      <c r="L1328" s="2"/>
      <c r="M1328" s="2"/>
      <c r="O1328" s="2"/>
      <c r="P1328" s="2" t="s">
        <v>80</v>
      </c>
      <c r="Q1328" s="2"/>
      <c r="R1328" s="2"/>
      <c r="S1328" s="2"/>
      <c r="T1328" s="2"/>
      <c r="AK1328" s="2"/>
    </row>
    <row r="1329" spans="2:37">
      <c r="B1329" s="2"/>
      <c r="C1329" s="2"/>
      <c r="D1329" s="2"/>
      <c r="E1329" s="2"/>
      <c r="F1329" s="2"/>
      <c r="G1329" s="2"/>
      <c r="H1329" s="2"/>
      <c r="I1329" s="2"/>
      <c r="J1329" s="2"/>
      <c r="K1329" s="2"/>
      <c r="L1329" s="2"/>
      <c r="M1329" s="2"/>
      <c r="N1329" s="2"/>
      <c r="O1329" s="2"/>
      <c r="P1329" s="82" t="str">
        <f>D1309</f>
        <v>2021-2022</v>
      </c>
      <c r="Q1329" s="82" t="str">
        <f>E1309</f>
        <v>2022-2023</v>
      </c>
      <c r="R1329" s="82" t="str">
        <f>G1309</f>
        <v>2023-2024</v>
      </c>
      <c r="S1329" s="82" t="str">
        <f>I1309</f>
        <v>2024-2025</v>
      </c>
      <c r="T1329" s="82" t="str">
        <f>K1309</f>
        <v>2025-2026</v>
      </c>
      <c r="AK1329" s="2"/>
    </row>
    <row r="1330" spans="2:37">
      <c r="B1330" s="2"/>
      <c r="C1330" s="2"/>
      <c r="D1330" s="2"/>
      <c r="E1330" s="2"/>
      <c r="F1330" s="2"/>
      <c r="G1330" s="2"/>
      <c r="H1330" s="2"/>
      <c r="I1330" s="2"/>
      <c r="J1330" s="2"/>
      <c r="K1330" s="2"/>
      <c r="L1330" s="2"/>
      <c r="M1330" s="2"/>
      <c r="N1330" s="2"/>
      <c r="O1330" s="140" t="str">
        <f>$B1311</f>
        <v>FTE Enrollment (excl. Virtual)¹</v>
      </c>
      <c r="P1330" s="462">
        <f>IF(AND($D1311&lt;=0,$E1311&lt;=0,$G1311&lt;=0,$I1311&lt;=0,$K1311&lt;=0),#N/A,IF($D1311&lt;=0,0,$D1311))</f>
        <v>99</v>
      </c>
      <c r="Q1330" s="462">
        <f>IF(AND($D1311&lt;=0,$E1311&lt;=0,$G1311&lt;=0,$I1311&lt;=0,$K1311&lt;=0),#N/A,IF($E1311&lt;=0,0,$E1311))</f>
        <v>67.5</v>
      </c>
      <c r="R1330" s="462">
        <f>IF(AND($D1311&lt;=0,$E1311&lt;=0,$G1311&lt;=0,$I1311&lt;=0,$K1311&lt;=0),#N/A,IF($G1311&lt;=0,0,$G1311))</f>
        <v>70.7</v>
      </c>
      <c r="S1330" s="462">
        <f>IF(AND($D1311&lt;=0,$E1311&lt;=0,$G1311&lt;=0,$I1311&lt;=0,$K1311&lt;=0),#N/A,IF($I1311&lt;=0,0,$I1311))</f>
        <v>82.5</v>
      </c>
      <c r="T1330" s="462">
        <f>IF(AND($D1311&lt;=0,$E1311&lt;=0,$G1311&lt;=0,$I1311&lt;=0,$K1311&lt;=0),#N/A,IF($K1311&lt;=0,0,$K1311))</f>
        <v>70</v>
      </c>
      <c r="AK1330" s="2"/>
    </row>
    <row r="1331" spans="2:37">
      <c r="B1331" s="2"/>
      <c r="C1331" s="2"/>
      <c r="D1331" s="2"/>
      <c r="E1331" s="2"/>
      <c r="F1331" s="2"/>
      <c r="G1331" s="2"/>
      <c r="H1331" s="2"/>
      <c r="I1331" s="2"/>
      <c r="J1331" s="2"/>
      <c r="K1331" s="2"/>
      <c r="L1331" s="2"/>
      <c r="M1331" s="2"/>
      <c r="N1331" s="2"/>
      <c r="O1331" s="2"/>
      <c r="P1331" s="2"/>
      <c r="Q1331" s="2"/>
      <c r="R1331" s="2"/>
      <c r="S1331" s="2"/>
      <c r="AK1331" s="2"/>
    </row>
    <row r="1332" spans="2:37">
      <c r="B1332" s="2"/>
      <c r="C1332" s="2"/>
      <c r="D1332" s="2"/>
      <c r="E1332" s="2"/>
      <c r="F1332" s="2"/>
      <c r="G1332" s="2"/>
      <c r="H1332" s="2"/>
      <c r="I1332" s="2"/>
      <c r="J1332" s="2"/>
      <c r="K1332" s="2"/>
      <c r="L1332" s="2"/>
      <c r="M1332" s="2"/>
      <c r="N1332" s="2"/>
      <c r="O1332" s="2"/>
      <c r="P1332" s="2"/>
      <c r="Q1332" s="2"/>
      <c r="R1332" s="2"/>
      <c r="S1332" s="2"/>
      <c r="AK1332" s="2"/>
    </row>
    <row r="1333" spans="2:37">
      <c r="B1333" s="2"/>
      <c r="C1333" s="2"/>
      <c r="D1333" s="2"/>
      <c r="E1333" s="2"/>
      <c r="F1333" s="2"/>
      <c r="G1333" s="2"/>
      <c r="H1333" s="2"/>
      <c r="I1333" s="2"/>
      <c r="J1333" s="2"/>
      <c r="K1333" s="2"/>
      <c r="L1333" s="2"/>
      <c r="M1333" s="2"/>
      <c r="N1333" s="2"/>
      <c r="O1333" s="2"/>
      <c r="P1333" s="2"/>
      <c r="Q1333" s="2"/>
      <c r="R1333" s="2"/>
      <c r="S1333" s="2"/>
      <c r="AK1333" s="2"/>
    </row>
    <row r="1334" spans="2:37">
      <c r="B1334" s="2"/>
      <c r="C1334" s="2"/>
      <c r="D1334" s="2"/>
      <c r="E1334" s="2"/>
      <c r="F1334" s="2"/>
      <c r="G1334" s="2"/>
      <c r="H1334" s="2"/>
      <c r="I1334" s="2"/>
      <c r="J1334" s="2"/>
      <c r="K1334" s="2"/>
      <c r="L1334" s="2"/>
      <c r="M1334" s="2"/>
      <c r="N1334" s="2"/>
      <c r="O1334" s="2"/>
      <c r="P1334" s="2"/>
      <c r="Q1334" s="2"/>
      <c r="R1334" s="2"/>
      <c r="S1334" s="2"/>
      <c r="AK1334" s="2"/>
    </row>
    <row r="1335" spans="2:37">
      <c r="B1335" s="2"/>
      <c r="C1335" s="2"/>
      <c r="D1335" s="2"/>
      <c r="E1335" s="2"/>
      <c r="F1335" s="2"/>
      <c r="G1335" s="2"/>
      <c r="H1335" s="2"/>
      <c r="I1335" s="2"/>
      <c r="J1335" s="2"/>
      <c r="K1335" s="2"/>
      <c r="L1335" s="2"/>
      <c r="M1335" s="2"/>
      <c r="AK1335" s="2"/>
    </row>
    <row r="1336" spans="2:37">
      <c r="B1336" s="2"/>
      <c r="C1336" s="2"/>
      <c r="D1336" s="2"/>
      <c r="E1336" s="2"/>
      <c r="F1336" s="2"/>
      <c r="G1336" s="2"/>
      <c r="H1336" s="2"/>
      <c r="I1336" s="2"/>
      <c r="J1336" s="2"/>
      <c r="K1336" s="2"/>
      <c r="L1336" s="2"/>
      <c r="M1336" s="2"/>
      <c r="AK1336" s="2"/>
    </row>
    <row r="1337" spans="2:37">
      <c r="B1337" s="2"/>
      <c r="C1337" s="2"/>
      <c r="D1337" s="2"/>
      <c r="E1337" s="2"/>
      <c r="F1337" s="2"/>
      <c r="G1337" s="2"/>
      <c r="H1337" s="2"/>
      <c r="I1337" s="2"/>
      <c r="J1337" s="2"/>
      <c r="K1337" s="2"/>
      <c r="L1337" s="2"/>
      <c r="M1337" s="2"/>
      <c r="AK1337" s="2"/>
    </row>
    <row r="1338" spans="2:37">
      <c r="B1338" s="2"/>
      <c r="C1338" s="2"/>
      <c r="D1338" s="2"/>
      <c r="E1338" s="2"/>
      <c r="F1338" s="2"/>
      <c r="G1338" s="2"/>
      <c r="H1338" s="2"/>
      <c r="I1338" s="2"/>
      <c r="J1338" s="2"/>
      <c r="K1338" s="2"/>
      <c r="L1338" s="2"/>
      <c r="M1338" s="2"/>
      <c r="AK1338" s="2"/>
    </row>
    <row r="1339" spans="2:37">
      <c r="B1339" s="2"/>
      <c r="C1339" s="2"/>
      <c r="D1339" s="2"/>
      <c r="E1339" s="2"/>
      <c r="F1339" s="2"/>
      <c r="G1339" s="2"/>
      <c r="H1339" s="2"/>
      <c r="I1339" s="2"/>
      <c r="J1339" s="2"/>
      <c r="K1339" s="2"/>
      <c r="L1339" s="2"/>
      <c r="M1339" s="2"/>
      <c r="N1339" s="2"/>
      <c r="O1339" s="2"/>
      <c r="P1339" s="2"/>
      <c r="Q1339" s="2"/>
      <c r="R1339" s="2"/>
      <c r="S1339" s="2"/>
      <c r="AK1339" s="2"/>
    </row>
    <row r="1340" spans="2:37">
      <c r="B1340" s="2"/>
      <c r="C1340" s="2"/>
      <c r="D1340" s="2"/>
      <c r="E1340" s="2"/>
      <c r="F1340" s="2"/>
      <c r="G1340" s="2"/>
      <c r="H1340" s="2"/>
      <c r="I1340" s="2"/>
      <c r="J1340" s="2"/>
      <c r="K1340" s="2"/>
      <c r="L1340" s="2"/>
      <c r="M1340" s="2"/>
      <c r="N1340" s="2"/>
      <c r="O1340" s="2"/>
      <c r="P1340" s="2"/>
      <c r="Q1340" s="2"/>
      <c r="R1340" s="2"/>
      <c r="S1340" s="2"/>
      <c r="AK1340" s="2"/>
    </row>
    <row r="1341" spans="2:37">
      <c r="B1341" s="2"/>
      <c r="C1341" s="2"/>
      <c r="D1341" s="2"/>
      <c r="E1341" s="2"/>
      <c r="F1341" s="2"/>
      <c r="G1341" s="2"/>
      <c r="H1341" s="2"/>
      <c r="I1341" s="2"/>
      <c r="J1341" s="2"/>
      <c r="K1341" s="2"/>
      <c r="L1341" s="2"/>
      <c r="M1341" s="2"/>
      <c r="N1341" s="2"/>
      <c r="O1341" s="2"/>
      <c r="P1341" s="2"/>
      <c r="Q1341" s="2"/>
      <c r="R1341" s="2"/>
      <c r="S1341" s="2"/>
      <c r="AK1341" s="2"/>
    </row>
    <row r="1342" spans="2:37">
      <c r="B1342" s="2"/>
      <c r="C1342" s="2"/>
      <c r="D1342" s="2"/>
      <c r="E1342" s="2"/>
      <c r="F1342" s="2"/>
      <c r="G1342" s="2"/>
      <c r="H1342" s="2"/>
      <c r="I1342" s="2"/>
      <c r="J1342" s="2"/>
      <c r="K1342" s="2"/>
      <c r="L1342" s="2"/>
      <c r="M1342" s="2"/>
      <c r="N1342" s="2"/>
      <c r="O1342" s="2"/>
      <c r="P1342" s="2"/>
      <c r="Q1342" s="2"/>
      <c r="R1342" s="2"/>
      <c r="S1342" s="2"/>
      <c r="AK1342" s="2"/>
    </row>
    <row r="1343" spans="2:37">
      <c r="C1343" s="2"/>
      <c r="D1343" s="2"/>
      <c r="E1343" s="2"/>
      <c r="F1343" s="2"/>
      <c r="G1343" s="2"/>
      <c r="H1343" s="2"/>
      <c r="I1343" s="2"/>
      <c r="J1343" s="2"/>
      <c r="K1343" s="2"/>
      <c r="L1343" s="2"/>
      <c r="M1343" s="2"/>
      <c r="N1343" s="2"/>
      <c r="O1343" s="59"/>
      <c r="P1343" s="463" t="s">
        <v>84</v>
      </c>
      <c r="Q1343" s="2"/>
      <c r="R1343" s="2"/>
      <c r="S1343" s="2"/>
      <c r="T1343" s="2"/>
      <c r="AK1343" s="2"/>
    </row>
    <row r="1344" spans="2:37">
      <c r="C1344" s="2"/>
      <c r="D1344" s="2"/>
      <c r="E1344" s="2"/>
      <c r="F1344" s="2"/>
      <c r="G1344" s="2"/>
      <c r="H1344" s="2"/>
      <c r="I1344" s="2"/>
      <c r="J1344" s="2"/>
      <c r="K1344" s="2"/>
      <c r="L1344" s="2"/>
      <c r="M1344" s="2"/>
      <c r="N1344" s="2"/>
      <c r="P1344" s="2" t="s">
        <v>85</v>
      </c>
      <c r="Q1344" s="2"/>
      <c r="R1344" s="2"/>
      <c r="S1344" s="2"/>
      <c r="T1344" s="2"/>
      <c r="AK1344" s="2"/>
    </row>
    <row r="1345" spans="2:37">
      <c r="B1345" s="140"/>
      <c r="C1345" s="2"/>
      <c r="D1345" s="2"/>
      <c r="E1345" s="2"/>
      <c r="F1345" s="2"/>
      <c r="G1345" s="2"/>
      <c r="H1345" s="2"/>
      <c r="I1345" s="2"/>
      <c r="J1345" s="2"/>
      <c r="K1345" s="2"/>
      <c r="L1345" s="2"/>
      <c r="M1345" s="2"/>
      <c r="N1345" s="2"/>
      <c r="O1345" s="2"/>
      <c r="P1345" s="82" t="str">
        <f>D1309</f>
        <v>2021-2022</v>
      </c>
      <c r="Q1345" s="82" t="str">
        <f>E1309</f>
        <v>2022-2023</v>
      </c>
      <c r="R1345" s="82" t="str">
        <f>G1309</f>
        <v>2023-2024</v>
      </c>
      <c r="S1345" s="82" t="str">
        <f>I1309</f>
        <v>2024-2025</v>
      </c>
      <c r="T1345" s="82" t="str">
        <f>K1309</f>
        <v>2025-2026</v>
      </c>
      <c r="AK1345" s="2"/>
    </row>
    <row r="1346" spans="2:37">
      <c r="B1346" s="167"/>
      <c r="C1346" s="2"/>
      <c r="D1346" s="2"/>
      <c r="E1346" s="2"/>
      <c r="F1346" s="2"/>
      <c r="G1346" s="2"/>
      <c r="H1346" s="2"/>
      <c r="I1346" s="2"/>
      <c r="J1346" s="2"/>
      <c r="K1346" s="2"/>
      <c r="L1346" s="2"/>
      <c r="M1346" s="2"/>
      <c r="N1346" s="2"/>
      <c r="O1346" s="140" t="str">
        <f>$B1312</f>
        <v>FTE Enrollment (incl. Virtual)¹</v>
      </c>
      <c r="P1346" s="462">
        <f>IF(AND($D1312&lt;=0,$E1312&lt;=0,$G1312&lt;=0,$I1312&lt;=0,$K1312&lt;=0),#N/A,IF($D1312&lt;=0,0,$D1312))</f>
        <v>99</v>
      </c>
      <c r="Q1346" s="462">
        <f>IF(AND($D1312&lt;=0,$E1312&lt;=0,$G1312&lt;=0,$I1312&lt;=0,$K1312&lt;=0),#N/A,IF($E1312&lt;=0,0,$E1312))</f>
        <v>67.5</v>
      </c>
      <c r="R1346" s="462">
        <f>IF(AND($D1312&lt;=0,$E1312&lt;=0,$G1312&lt;=0,$I1312&lt;=0,$K1312&lt;=0),#N/A,IF($G1312&lt;=0,0,$G1312))</f>
        <v>70.7</v>
      </c>
      <c r="S1346" s="462">
        <f>IF(AND($D1312&lt;=0,$E1312&lt;=0,$G1312&lt;=0,$I1312&lt;=0,$K1312&lt;=0),#N/A,IF($I1312&lt;=0,0,$I1312))</f>
        <v>82.5</v>
      </c>
      <c r="T1346" s="462">
        <f>IF(AND($D1312&lt;=0,$E1312&lt;=0,$G1312&lt;=0,$I1312&lt;=0,$K1312&lt;=0),#N/A,IF($K1312&lt;=0,0,$K1312))</f>
        <v>70</v>
      </c>
      <c r="AK1346" s="2"/>
    </row>
    <row r="1347" spans="2:37">
      <c r="B1347" s="167"/>
      <c r="C1347" s="2"/>
      <c r="D1347" s="2"/>
      <c r="E1347" s="2"/>
      <c r="F1347" s="2"/>
      <c r="G1347" s="2"/>
      <c r="H1347" s="2"/>
      <c r="I1347" s="2"/>
      <c r="J1347" s="2"/>
      <c r="K1347" s="2"/>
      <c r="L1347" s="2"/>
      <c r="M1347" s="2"/>
      <c r="N1347" s="2"/>
      <c r="O1347" s="2"/>
      <c r="P1347" s="2"/>
      <c r="Q1347" s="2"/>
      <c r="R1347" s="2"/>
      <c r="S1347" s="2"/>
      <c r="AK1347" s="2"/>
    </row>
    <row r="1348" spans="2:37">
      <c r="B1348" s="167"/>
      <c r="C1348" s="2"/>
      <c r="D1348" s="2"/>
      <c r="E1348" s="2"/>
      <c r="F1348" s="2"/>
      <c r="G1348" s="2"/>
      <c r="H1348" s="2"/>
      <c r="I1348" s="2"/>
      <c r="J1348" s="2"/>
      <c r="K1348" s="2"/>
      <c r="L1348" s="2"/>
      <c r="M1348" s="2"/>
      <c r="N1348" s="2"/>
      <c r="O1348" s="2"/>
      <c r="P1348" s="2"/>
      <c r="Q1348" s="2"/>
      <c r="R1348" s="2"/>
      <c r="S1348" s="2"/>
      <c r="AK1348" s="2"/>
    </row>
    <row r="1349" spans="2:37">
      <c r="B1349" s="2"/>
      <c r="C1349" s="2"/>
      <c r="D1349" s="2"/>
      <c r="E1349" s="2"/>
      <c r="F1349" s="2"/>
      <c r="G1349" s="2"/>
      <c r="H1349" s="2"/>
      <c r="I1349" s="2"/>
      <c r="J1349" s="2"/>
      <c r="K1349" s="2"/>
      <c r="L1349" s="2"/>
      <c r="M1349" s="2"/>
      <c r="N1349" s="2"/>
      <c r="O1349" s="2"/>
      <c r="P1349" s="2"/>
      <c r="Q1349" s="2"/>
      <c r="R1349" s="2"/>
      <c r="S1349" s="2"/>
      <c r="AK1349" s="2"/>
    </row>
    <row r="1350" spans="2:37">
      <c r="B1350" s="2"/>
      <c r="C1350" s="2"/>
      <c r="D1350" s="2"/>
      <c r="E1350" s="2"/>
      <c r="F1350" s="2"/>
      <c r="G1350" s="2"/>
      <c r="H1350" s="2"/>
      <c r="I1350" s="2"/>
      <c r="J1350" s="2"/>
      <c r="K1350" s="2"/>
      <c r="L1350" s="2"/>
      <c r="M1350" s="2"/>
      <c r="N1350" s="2"/>
      <c r="O1350" s="2"/>
      <c r="P1350" s="2"/>
      <c r="Q1350" s="2"/>
      <c r="R1350" s="2"/>
      <c r="S1350" s="2"/>
      <c r="AK1350" s="2"/>
    </row>
    <row r="1351" spans="2:37">
      <c r="B1351" s="2"/>
      <c r="C1351" s="2"/>
      <c r="D1351" s="2"/>
      <c r="E1351" s="2"/>
      <c r="F1351" s="46"/>
      <c r="G1351" s="2"/>
      <c r="H1351" s="2"/>
      <c r="I1351" s="392"/>
      <c r="J1351" s="2"/>
      <c r="K1351" s="2"/>
      <c r="L1351" s="2"/>
      <c r="M1351" s="2"/>
      <c r="N1351" s="2"/>
      <c r="O1351" s="2"/>
      <c r="P1351" s="2"/>
      <c r="Q1351" s="2"/>
      <c r="R1351" s="2"/>
      <c r="S1351" s="2"/>
      <c r="AK1351" s="2"/>
    </row>
    <row r="1352" spans="2:37">
      <c r="M1352" s="2"/>
      <c r="N1352" s="2"/>
      <c r="O1352" s="2"/>
      <c r="P1352" s="2"/>
      <c r="Q1352" s="2"/>
      <c r="R1352" s="2"/>
      <c r="S1352" s="2"/>
      <c r="AK1352" s="2"/>
    </row>
    <row r="1353" spans="2:37">
      <c r="M1353" s="2"/>
      <c r="N1353" s="2"/>
      <c r="O1353" s="2"/>
      <c r="P1353" s="2"/>
      <c r="Q1353" s="2"/>
      <c r="R1353" s="2"/>
      <c r="S1353" s="2"/>
      <c r="AK1353" s="2"/>
    </row>
    <row r="1354" spans="2:37">
      <c r="M1354" s="2"/>
      <c r="N1354" s="2"/>
      <c r="O1354" s="2"/>
      <c r="P1354" s="2"/>
      <c r="Q1354" s="2"/>
      <c r="R1354" s="2"/>
      <c r="S1354" s="2"/>
      <c r="AK1354" s="2"/>
    </row>
    <row r="1355" spans="2:37">
      <c r="M1355" s="2"/>
      <c r="N1355" s="2"/>
      <c r="O1355" s="2"/>
      <c r="P1355" s="2"/>
      <c r="Q1355" s="2"/>
      <c r="R1355" s="2"/>
      <c r="S1355" s="2"/>
      <c r="AK1355" s="2"/>
    </row>
    <row r="1356" spans="2:37">
      <c r="M1356" s="2"/>
      <c r="N1356" s="2"/>
      <c r="O1356" s="2"/>
      <c r="P1356" s="2"/>
      <c r="Q1356" s="2"/>
      <c r="R1356" s="2"/>
      <c r="S1356" s="2"/>
      <c r="AK1356" s="2"/>
    </row>
    <row r="1357" spans="2:37">
      <c r="M1357" s="2"/>
      <c r="N1357" s="2"/>
      <c r="R1357" s="2"/>
      <c r="S1357" s="2"/>
      <c r="AK1357" s="2"/>
    </row>
    <row r="1358" spans="2:37">
      <c r="M1358" s="2"/>
      <c r="N1358" s="2"/>
      <c r="R1358" s="2"/>
      <c r="S1358" s="2"/>
      <c r="AK1358" s="2"/>
    </row>
    <row r="1359" spans="2:37">
      <c r="M1359" s="2"/>
      <c r="N1359" s="2"/>
      <c r="R1359" s="2"/>
      <c r="S1359" s="2"/>
      <c r="AK1359" s="2"/>
    </row>
    <row r="1360" spans="2:37">
      <c r="M1360" s="2"/>
      <c r="N1360" s="2"/>
      <c r="R1360" s="2"/>
      <c r="S1360" s="2"/>
      <c r="AK1360" s="2"/>
    </row>
    <row r="1361" spans="2:37">
      <c r="M1361" s="2"/>
      <c r="N1361" s="2"/>
      <c r="O1361" s="2"/>
      <c r="P1361" s="2" t="s">
        <v>82</v>
      </c>
      <c r="Q1361" s="2"/>
      <c r="R1361" s="2"/>
      <c r="S1361" s="2"/>
      <c r="T1361" s="2"/>
      <c r="AK1361" s="2"/>
    </row>
    <row r="1362" spans="2:37">
      <c r="M1362" s="2"/>
      <c r="N1362" s="2"/>
      <c r="O1362" s="2"/>
      <c r="P1362" s="82" t="str">
        <f>D1309</f>
        <v>2021-2022</v>
      </c>
      <c r="Q1362" s="82" t="str">
        <f>E1309</f>
        <v>2022-2023</v>
      </c>
      <c r="R1362" s="82" t="str">
        <f>G1309</f>
        <v>2023-2024</v>
      </c>
      <c r="S1362" s="82" t="str">
        <f>I1309</f>
        <v>2024-2025</v>
      </c>
      <c r="T1362" s="82" t="str">
        <f>K1309</f>
        <v>2025-2026</v>
      </c>
      <c r="AK1362" s="2"/>
    </row>
    <row r="1363" spans="2:37">
      <c r="M1363" s="2"/>
      <c r="N1363" s="2"/>
      <c r="O1363" s="140" t="str">
        <f>$B1313</f>
        <v>Free Meal Student Headcount</v>
      </c>
      <c r="P1363" s="294">
        <f>IF(AND($D1313&lt;=0,$E1313&lt;=0,$G1313&lt;=0,$I1313&lt;=0,$K1313&lt;=0),#N/A,IF($D1313&lt;=0,0,$D1313))</f>
        <v>40</v>
      </c>
      <c r="Q1363" s="294">
        <f>IF(AND($D1313&lt;=0,$E1313&lt;=0,$G1313&lt;=0,$I1313&lt;=0,$K1313&lt;=0),#N/A,IF($E1313&lt;=0,0,$E1313))</f>
        <v>39</v>
      </c>
      <c r="R1363" s="294">
        <f>IF(AND($D1313&lt;=0,$E1313&lt;=0,$G1313&lt;=0,$I1313&lt;=0,$K1313&lt;=0),#N/A,IF($G1313&lt;=0,0,$G1313))</f>
        <v>35</v>
      </c>
      <c r="S1363" s="294">
        <f>IF(AND($D1313&lt;=0,$E1313&lt;=0,$G1313&lt;=0,$I1313&lt;=0,$K1313&lt;=0),#N/A,IF($I1313&lt;=0,0,$I1313))</f>
        <v>40</v>
      </c>
      <c r="T1363" s="294">
        <f>IF(AND($D1313&lt;=0,$E1313&lt;=0,$G1313&lt;=0,$I1313&lt;=0,$K1313&lt;=0),#N/A,IF($K1313&lt;=0,0,$K1313))</f>
        <v>35</v>
      </c>
      <c r="AK1363" s="2"/>
    </row>
    <row r="1364" spans="2:37">
      <c r="M1364" s="2"/>
      <c r="N1364" s="2"/>
      <c r="O1364" s="140" t="str">
        <f>$B1314</f>
        <v>Reduced Meal Student Headcount</v>
      </c>
      <c r="P1364" s="294">
        <f>IF(AND($D1314&lt;=0,$E1314&lt;=0,$G1314&lt;=0,$I1314&lt;=0,$K1314&lt;=0),#N/A,IF($D1314&lt;=0,0,$D1314))</f>
        <v>25</v>
      </c>
      <c r="Q1364" s="294">
        <f>IF(AND($D1314&lt;=0,$E1314&lt;=0,$G1314&lt;=0,$I1314&lt;=0,$K1314&lt;=0),#N/A,IF($E1314&lt;=0,0,$E1314))</f>
        <v>3</v>
      </c>
      <c r="R1364" s="294">
        <f>IF(AND($D1314&lt;=0,$E1314&lt;=0,$G1314&lt;=0,$I1314&lt;=0,$K1314&lt;=0),#N/A,IF($G1314&lt;=0,0,$G1314))</f>
        <v>5</v>
      </c>
      <c r="S1364" s="294">
        <f>IF(AND($D1314&lt;=0,$E1314&lt;=0,$G1314&lt;=0,$I1314&lt;=0,$K1314&lt;=0),#N/A,IF($I1314&lt;=0,0,$I1314))</f>
        <v>10</v>
      </c>
      <c r="T1364" s="294">
        <f>IF(AND($D1314&lt;=0,$E1314&lt;=0,$G1314&lt;=0,$I1314&lt;=0,$K1314&lt;=0),#N/A,IF($K1314&lt;=0,0,$K1314))</f>
        <v>10</v>
      </c>
      <c r="AK1364" s="2"/>
    </row>
    <row r="1365" spans="2:37">
      <c r="M1365" s="2"/>
      <c r="N1365" s="2"/>
      <c r="R1365" s="2"/>
      <c r="S1365" s="2"/>
      <c r="AK1365" s="2"/>
    </row>
    <row r="1366" spans="2:37">
      <c r="M1366" s="2"/>
      <c r="N1366" s="2"/>
      <c r="R1366" s="2"/>
      <c r="S1366" s="2"/>
      <c r="AK1366" s="2"/>
    </row>
    <row r="1367" spans="2:37">
      <c r="M1367" s="2"/>
      <c r="N1367" s="2"/>
      <c r="R1367" s="2"/>
      <c r="S1367" s="2"/>
      <c r="AK1367" s="2"/>
    </row>
    <row r="1368" spans="2:37">
      <c r="M1368" s="2"/>
      <c r="N1368" s="2"/>
      <c r="R1368" s="2"/>
      <c r="S1368" s="2"/>
      <c r="AK1368" s="2"/>
    </row>
    <row r="1369" spans="2:37">
      <c r="M1369" s="2"/>
      <c r="N1369" s="2"/>
      <c r="R1369" s="2"/>
      <c r="S1369" s="2"/>
      <c r="AK1369" s="2"/>
    </row>
    <row r="1370" spans="2:37">
      <c r="M1370" s="2"/>
      <c r="N1370" s="2"/>
      <c r="R1370" s="2"/>
      <c r="S1370" s="2"/>
      <c r="AK1370" s="2"/>
    </row>
    <row r="1371" spans="2:37" ht="18">
      <c r="B1371" s="84"/>
      <c r="C1371" s="47"/>
      <c r="D1371" s="47"/>
      <c r="E1371" s="47"/>
      <c r="F1371" s="47"/>
      <c r="G1371" s="47"/>
      <c r="H1371" s="47"/>
      <c r="I1371" s="47"/>
      <c r="J1371" s="143"/>
      <c r="K1371" s="143"/>
      <c r="L1371" s="143"/>
      <c r="M1371" s="2"/>
      <c r="N1371" s="2"/>
      <c r="R1371" s="2"/>
      <c r="S1371" s="2"/>
      <c r="AK1371" s="2"/>
    </row>
    <row r="1372" spans="2:37" ht="18">
      <c r="B1372" s="84" t="s">
        <v>93</v>
      </c>
      <c r="C1372" s="47"/>
      <c r="D1372" s="47"/>
      <c r="E1372" s="47"/>
      <c r="F1372" s="47"/>
      <c r="G1372" s="47"/>
      <c r="H1372" s="47"/>
      <c r="I1372" s="47"/>
      <c r="J1372" s="143"/>
      <c r="K1372" s="143"/>
      <c r="L1372" s="143"/>
      <c r="M1372" s="2"/>
      <c r="N1372" s="2"/>
      <c r="R1372" s="2"/>
      <c r="S1372" s="2"/>
      <c r="AK1372" s="2"/>
    </row>
    <row r="1373" spans="2:37">
      <c r="B1373" s="48"/>
      <c r="C1373" s="48"/>
      <c r="D1373" s="48"/>
      <c r="E1373" s="48"/>
      <c r="F1373" s="48"/>
      <c r="G1373" s="48"/>
      <c r="H1373" s="48"/>
      <c r="I1373" s="48"/>
      <c r="J1373" s="2"/>
      <c r="K1373" s="2"/>
      <c r="L1373" s="2"/>
      <c r="M1373" s="2"/>
      <c r="N1373" s="2"/>
      <c r="O1373" s="2"/>
      <c r="P1373" s="2"/>
      <c r="Q1373" s="2"/>
      <c r="R1373" s="2"/>
      <c r="S1373" s="2"/>
      <c r="AK1373" s="2"/>
    </row>
    <row r="1374" spans="2:37">
      <c r="B1374" s="48"/>
      <c r="C1374" s="43"/>
      <c r="D1374" s="464" t="str">
        <f>D4</f>
        <v>2023-2024</v>
      </c>
      <c r="E1374" s="2"/>
      <c r="G1374" s="693" t="str">
        <f>F4</f>
        <v>2024-2025</v>
      </c>
      <c r="H1374" s="694"/>
      <c r="J1374" s="2"/>
      <c r="K1374" s="693" t="str">
        <f>I4</f>
        <v>2025-2026</v>
      </c>
      <c r="L1374" s="694"/>
      <c r="M1374" s="2"/>
      <c r="N1374" s="2"/>
      <c r="O1374" s="2"/>
      <c r="P1374" s="2"/>
      <c r="Q1374" s="2"/>
      <c r="R1374" s="2"/>
      <c r="S1374" s="2"/>
      <c r="AK1374" s="2"/>
    </row>
    <row r="1375" spans="2:37">
      <c r="B1375" s="2"/>
      <c r="C1375" s="301" t="s">
        <v>4</v>
      </c>
      <c r="D1375" s="465" t="s">
        <v>5</v>
      </c>
      <c r="E1375" s="2"/>
      <c r="G1375" s="697" t="s">
        <v>5</v>
      </c>
      <c r="H1375" s="698"/>
      <c r="J1375" s="2"/>
      <c r="K1375" s="697" t="s">
        <v>6</v>
      </c>
      <c r="L1375" s="698"/>
      <c r="M1375" s="2"/>
      <c r="N1375" s="2"/>
      <c r="O1375" s="2"/>
      <c r="P1375" s="2"/>
      <c r="Q1375" s="2"/>
      <c r="R1375" s="2"/>
      <c r="S1375" s="2"/>
      <c r="AK1375" s="2"/>
    </row>
    <row r="1376" spans="2:37">
      <c r="B1376" s="466" t="s">
        <v>34</v>
      </c>
      <c r="C1376" s="223"/>
      <c r="D1376" s="537">
        <f>[1]CO99!$E$14</f>
        <v>20</v>
      </c>
      <c r="E1376" s="2"/>
      <c r="G1376" s="695">
        <f>[1]CO99!$G$14</f>
        <v>20</v>
      </c>
      <c r="H1376" s="696"/>
      <c r="J1376" s="2"/>
      <c r="K1376" s="695">
        <f>[1]CO99!$J$14</f>
        <v>20</v>
      </c>
      <c r="L1376" s="696"/>
      <c r="M1376" s="2"/>
      <c r="N1376" s="2"/>
      <c r="O1376" s="863" t="s">
        <v>168</v>
      </c>
      <c r="P1376" s="863"/>
      <c r="Q1376" s="2"/>
      <c r="R1376" s="2"/>
      <c r="S1376" s="2"/>
      <c r="AK1376" s="2"/>
    </row>
    <row r="1377" spans="2:37">
      <c r="B1377" s="49" t="s">
        <v>35</v>
      </c>
      <c r="C1377" s="1"/>
      <c r="D1377" s="538">
        <f>[1]CO99!$E$15</f>
        <v>19.545000000000002</v>
      </c>
      <c r="E1377" s="2"/>
      <c r="G1377" s="699">
        <f>[1]CO99!$G$15</f>
        <v>18.940999999999999</v>
      </c>
      <c r="H1377" s="700"/>
      <c r="J1377" s="2"/>
      <c r="K1377" s="699">
        <f>[1]CO99!$J$15</f>
        <v>23.21</v>
      </c>
      <c r="L1377" s="700"/>
      <c r="M1377" s="2"/>
      <c r="N1377" s="2"/>
      <c r="O1377" s="140" t="str">
        <f t="shared" ref="O1377:O1390" si="107">IF($K1376&lt;=0,"",$B1376)</f>
        <v>General</v>
      </c>
      <c r="P1377" s="467">
        <f t="shared" ref="P1377:P1390" si="108">IF($K1376&lt;=0,#N/A,IF($K1376&lt;=0,0,$K1376))</f>
        <v>20</v>
      </c>
      <c r="Q1377" s="2"/>
      <c r="R1377" s="2"/>
      <c r="S1377" s="2"/>
      <c r="AK1377" s="2"/>
    </row>
    <row r="1378" spans="2:37">
      <c r="B1378" s="466" t="s">
        <v>63</v>
      </c>
      <c r="C1378" s="223"/>
      <c r="D1378" s="537">
        <f>[1]CO99!$E$18</f>
        <v>0</v>
      </c>
      <c r="E1378" s="2"/>
      <c r="G1378" s="695">
        <f>[1]CO99!$G$18</f>
        <v>0</v>
      </c>
      <c r="H1378" s="696"/>
      <c r="J1378" s="2"/>
      <c r="K1378" s="695">
        <f>[1]CO99!$J$18</f>
        <v>0</v>
      </c>
      <c r="L1378" s="696"/>
      <c r="M1378" s="2"/>
      <c r="N1378" s="2"/>
      <c r="O1378" s="140" t="str">
        <f t="shared" si="107"/>
        <v>Supplemental General</v>
      </c>
      <c r="P1378" s="467">
        <f t="shared" si="108"/>
        <v>23.21</v>
      </c>
      <c r="Q1378" s="2"/>
      <c r="R1378" s="2"/>
      <c r="S1378" s="2"/>
      <c r="AK1378" s="2"/>
    </row>
    <row r="1379" spans="2:37">
      <c r="B1379" s="49" t="s">
        <v>41</v>
      </c>
      <c r="C1379" s="1"/>
      <c r="D1379" s="538">
        <f>[1]CO99!$E$24</f>
        <v>7.4589999999999996</v>
      </c>
      <c r="E1379" s="2"/>
      <c r="G1379" s="699">
        <f>[1]CO99!$G$24</f>
        <v>7.9829999999999997</v>
      </c>
      <c r="H1379" s="700"/>
      <c r="J1379" s="2"/>
      <c r="K1379" s="699">
        <f>[1]CO99!$J$24</f>
        <v>8</v>
      </c>
      <c r="L1379" s="700"/>
      <c r="M1379" s="2"/>
      <c r="N1379" s="2"/>
      <c r="O1379" s="140" t="str">
        <f t="shared" si="107"/>
        <v/>
      </c>
      <c r="P1379" s="467" t="e">
        <f t="shared" si="108"/>
        <v>#N/A</v>
      </c>
      <c r="Q1379" s="2"/>
      <c r="R1379" s="2"/>
      <c r="S1379" s="2"/>
      <c r="AK1379" s="2"/>
    </row>
    <row r="1380" spans="2:37">
      <c r="B1380" s="466" t="s">
        <v>43</v>
      </c>
      <c r="C1380" s="223"/>
      <c r="D1380" s="537">
        <f>[1]CO99!$E$26</f>
        <v>0</v>
      </c>
      <c r="E1380" s="2"/>
      <c r="G1380" s="695">
        <f>[1]CO99!$G$26</f>
        <v>0</v>
      </c>
      <c r="H1380" s="696"/>
      <c r="J1380" s="2"/>
      <c r="K1380" s="695">
        <f>[1]CO99!$J$26</f>
        <v>0</v>
      </c>
      <c r="L1380" s="696"/>
      <c r="M1380" s="2"/>
      <c r="N1380" s="2"/>
      <c r="O1380" s="140" t="str">
        <f t="shared" si="107"/>
        <v>Capital Outlay</v>
      </c>
      <c r="P1380" s="467">
        <f t="shared" si="108"/>
        <v>8</v>
      </c>
      <c r="Q1380" s="2"/>
      <c r="R1380" s="2"/>
      <c r="S1380" s="2"/>
      <c r="AK1380" s="2"/>
    </row>
    <row r="1381" spans="2:37">
      <c r="B1381" s="49" t="s">
        <v>49</v>
      </c>
      <c r="C1381" s="1"/>
      <c r="D1381" s="538">
        <f>[1]CO99!$E$33</f>
        <v>0</v>
      </c>
      <c r="E1381" s="2"/>
      <c r="G1381" s="699">
        <f>[1]CO99!$G$33</f>
        <v>0</v>
      </c>
      <c r="H1381" s="700"/>
      <c r="J1381" s="2"/>
      <c r="K1381" s="699">
        <f>[1]CO99!$J$33</f>
        <v>0</v>
      </c>
      <c r="L1381" s="700"/>
      <c r="M1381" s="2"/>
      <c r="N1381" s="2"/>
      <c r="O1381" s="140" t="str">
        <f t="shared" si="107"/>
        <v/>
      </c>
      <c r="P1381" s="467" t="e">
        <f t="shared" si="108"/>
        <v>#N/A</v>
      </c>
      <c r="Q1381" s="2"/>
      <c r="R1381" s="2"/>
      <c r="S1381" s="2"/>
      <c r="AK1381" s="2"/>
    </row>
    <row r="1382" spans="2:37">
      <c r="B1382" s="466" t="s">
        <v>50</v>
      </c>
      <c r="C1382" s="223"/>
      <c r="D1382" s="537">
        <f>[1]CO99!$E$36</f>
        <v>0</v>
      </c>
      <c r="E1382" s="2"/>
      <c r="G1382" s="695">
        <f>[1]CO99!$G$36</f>
        <v>0</v>
      </c>
      <c r="H1382" s="696"/>
      <c r="J1382" s="2"/>
      <c r="K1382" s="695">
        <f>[1]CO99!$J$36</f>
        <v>0</v>
      </c>
      <c r="L1382" s="696"/>
      <c r="M1382" s="2"/>
      <c r="N1382" s="2"/>
      <c r="O1382" s="140" t="str">
        <f t="shared" si="107"/>
        <v/>
      </c>
      <c r="P1382" s="467" t="e">
        <f t="shared" si="108"/>
        <v>#N/A</v>
      </c>
      <c r="Q1382" s="2"/>
      <c r="R1382" s="2"/>
      <c r="S1382" s="2"/>
      <c r="AK1382" s="2"/>
    </row>
    <row r="1383" spans="2:37">
      <c r="B1383" s="1" t="s">
        <v>51</v>
      </c>
      <c r="C1383" s="1"/>
      <c r="D1383" s="538">
        <f>[1]CO99!$E$37</f>
        <v>0</v>
      </c>
      <c r="E1383" s="2"/>
      <c r="G1383" s="699">
        <f>[1]CO99!$G$37</f>
        <v>0</v>
      </c>
      <c r="H1383" s="700"/>
      <c r="J1383" s="2"/>
      <c r="K1383" s="699">
        <f>[1]CO99!$J$37</f>
        <v>0</v>
      </c>
      <c r="L1383" s="700"/>
      <c r="M1383" s="2"/>
      <c r="N1383" s="2"/>
      <c r="O1383" s="140" t="str">
        <f t="shared" si="107"/>
        <v/>
      </c>
      <c r="P1383" s="467" t="e">
        <f t="shared" si="108"/>
        <v>#N/A</v>
      </c>
      <c r="Q1383" s="2"/>
      <c r="R1383" s="2"/>
      <c r="S1383" s="2"/>
      <c r="AK1383" s="2"/>
    </row>
    <row r="1384" spans="2:37">
      <c r="B1384" s="223" t="s">
        <v>52</v>
      </c>
      <c r="C1384" s="468"/>
      <c r="D1384" s="537">
        <f>[1]CO99!$E$38</f>
        <v>0</v>
      </c>
      <c r="E1384" s="2"/>
      <c r="G1384" s="695">
        <f>[1]CO99!$G$38</f>
        <v>0</v>
      </c>
      <c r="H1384" s="696"/>
      <c r="J1384" s="167"/>
      <c r="K1384" s="695">
        <f>[1]CO99!$J$38</f>
        <v>0</v>
      </c>
      <c r="L1384" s="696"/>
      <c r="M1384" s="2"/>
      <c r="N1384" s="2"/>
      <c r="O1384" s="140" t="str">
        <f t="shared" si="107"/>
        <v/>
      </c>
      <c r="P1384" s="467" t="e">
        <f t="shared" si="108"/>
        <v>#N/A</v>
      </c>
      <c r="Q1384" s="2"/>
      <c r="R1384" s="2"/>
      <c r="S1384" s="2"/>
      <c r="AK1384" s="2"/>
    </row>
    <row r="1385" spans="2:37">
      <c r="B1385" s="370" t="str">
        <f>B1118</f>
        <v>Bond and Interest #1</v>
      </c>
      <c r="C1385" s="1"/>
      <c r="D1385" s="538">
        <f>[1]CO99!$E$45</f>
        <v>9.0280000000000005</v>
      </c>
      <c r="E1385" s="2"/>
      <c r="G1385" s="699">
        <f>[1]CO99!$G$45</f>
        <v>8.98</v>
      </c>
      <c r="H1385" s="700"/>
      <c r="J1385" s="2"/>
      <c r="K1385" s="699">
        <f>[1]CO99!$J$45</f>
        <v>8.5180000000000007</v>
      </c>
      <c r="L1385" s="700"/>
      <c r="M1385" s="2"/>
      <c r="N1385" s="2"/>
      <c r="O1385" s="140" t="str">
        <f t="shared" si="107"/>
        <v/>
      </c>
      <c r="P1385" s="467" t="e">
        <f t="shared" si="108"/>
        <v>#N/A</v>
      </c>
      <c r="Q1385" s="2"/>
      <c r="R1385" s="2"/>
      <c r="S1385" s="2"/>
      <c r="AK1385" s="2"/>
    </row>
    <row r="1386" spans="2:37">
      <c r="B1386" s="469" t="str">
        <f>B1119</f>
        <v>Bond and Interest #2</v>
      </c>
      <c r="C1386" s="223"/>
      <c r="D1386" s="537">
        <f>[1]CO99!$E$46</f>
        <v>0</v>
      </c>
      <c r="E1386" s="2"/>
      <c r="G1386" s="695">
        <f>[1]CO99!$G$46</f>
        <v>0</v>
      </c>
      <c r="H1386" s="696"/>
      <c r="J1386" s="2"/>
      <c r="K1386" s="695">
        <f>[1]CO99!$J$46</f>
        <v>0</v>
      </c>
      <c r="L1386" s="696"/>
      <c r="M1386" s="2"/>
      <c r="N1386" s="2"/>
      <c r="O1386" s="140" t="str">
        <f t="shared" si="107"/>
        <v>Bond and Interest #1</v>
      </c>
      <c r="P1386" s="467">
        <f t="shared" si="108"/>
        <v>8.5180000000000007</v>
      </c>
      <c r="S1386" s="2"/>
      <c r="AK1386" s="2"/>
    </row>
    <row r="1387" spans="2:37">
      <c r="B1387" s="1" t="s">
        <v>89</v>
      </c>
      <c r="C1387" s="1"/>
      <c r="D1387" s="538">
        <f>[1]CO99!$E$47</f>
        <v>0</v>
      </c>
      <c r="E1387" s="2"/>
      <c r="G1387" s="699">
        <f>[1]CO99!$G$47</f>
        <v>0</v>
      </c>
      <c r="H1387" s="700"/>
      <c r="J1387" s="2"/>
      <c r="K1387" s="699">
        <f>[1]CO99!$J$47</f>
        <v>0</v>
      </c>
      <c r="L1387" s="700"/>
      <c r="M1387" s="2"/>
      <c r="N1387" s="2"/>
      <c r="O1387" s="140" t="str">
        <f t="shared" si="107"/>
        <v/>
      </c>
      <c r="P1387" s="467" t="e">
        <f t="shared" si="108"/>
        <v>#N/A</v>
      </c>
      <c r="S1387" s="2"/>
      <c r="AK1387" s="2"/>
    </row>
    <row r="1388" spans="2:37">
      <c r="B1388" s="223" t="s">
        <v>59</v>
      </c>
      <c r="C1388" s="223"/>
      <c r="D1388" s="537">
        <f>[1]CO99!$E$48</f>
        <v>0</v>
      </c>
      <c r="E1388" s="2"/>
      <c r="G1388" s="695">
        <f>[1]CO99!$G$48</f>
        <v>0</v>
      </c>
      <c r="H1388" s="696"/>
      <c r="J1388" s="2"/>
      <c r="K1388" s="695">
        <f>[1]CO99!$J$48</f>
        <v>0</v>
      </c>
      <c r="L1388" s="696"/>
      <c r="M1388" s="2"/>
      <c r="N1388" s="2"/>
      <c r="O1388" s="140" t="str">
        <f t="shared" si="107"/>
        <v/>
      </c>
      <c r="P1388" s="467" t="e">
        <f t="shared" si="108"/>
        <v>#N/A</v>
      </c>
      <c r="S1388" s="2"/>
      <c r="AK1388" s="2"/>
    </row>
    <row r="1389" spans="2:37" ht="15" thickBot="1">
      <c r="B1389" s="45" t="s">
        <v>60</v>
      </c>
      <c r="C1389" s="45"/>
      <c r="D1389" s="539">
        <f>[1]CO99!$E$49</f>
        <v>0</v>
      </c>
      <c r="E1389" s="2"/>
      <c r="G1389" s="861">
        <f>[1]CO99!$G$49</f>
        <v>0</v>
      </c>
      <c r="H1389" s="862"/>
      <c r="J1389" s="2"/>
      <c r="K1389" s="861">
        <f>[1]CO99!$J$49</f>
        <v>0</v>
      </c>
      <c r="L1389" s="862"/>
      <c r="M1389" s="2"/>
      <c r="N1389" s="2"/>
      <c r="O1389" s="140" t="str">
        <f t="shared" si="107"/>
        <v/>
      </c>
      <c r="P1389" s="467" t="e">
        <f t="shared" si="108"/>
        <v>#N/A</v>
      </c>
      <c r="S1389" s="2"/>
      <c r="AK1389" s="2"/>
    </row>
    <row r="1390" spans="2:37" ht="15" thickTop="1">
      <c r="B1390" s="470" t="s">
        <v>88</v>
      </c>
      <c r="C1390" s="289"/>
      <c r="D1390" s="540">
        <f>IF(L1=113,SUM(D1376:D1384,D1386:D1389),SUM(D1376:D1389))</f>
        <v>56.031999999999996</v>
      </c>
      <c r="E1390" s="2"/>
      <c r="G1390" s="701">
        <f>IF(L1=113,SUM(G1376:H1384,G1386:H1389),SUM(G1376:H1389))</f>
        <v>55.904000000000003</v>
      </c>
      <c r="H1390" s="702"/>
      <c r="J1390" s="2"/>
      <c r="K1390" s="701">
        <f>IF(L1=113,SUM(K1376:L1384,K1386:L1389),SUM(K1376:L1389))</f>
        <v>59.728000000000002</v>
      </c>
      <c r="L1390" s="702"/>
      <c r="M1390" s="2"/>
      <c r="N1390" s="2"/>
      <c r="O1390" s="140" t="str">
        <f t="shared" si="107"/>
        <v/>
      </c>
      <c r="P1390" s="467" t="e">
        <f t="shared" si="108"/>
        <v>#N/A</v>
      </c>
      <c r="S1390" s="2"/>
      <c r="AK1390" s="2"/>
    </row>
    <row r="1391" spans="2:37">
      <c r="B1391" s="223" t="s">
        <v>94</v>
      </c>
      <c r="C1391" s="223"/>
      <c r="D1391" s="537">
        <f>[1]CO99!$E$64</f>
        <v>0</v>
      </c>
      <c r="E1391" s="2"/>
      <c r="G1391" s="695">
        <f>[1]CO99!$G$64</f>
        <v>0</v>
      </c>
      <c r="H1391" s="696"/>
      <c r="J1391" s="2"/>
      <c r="K1391" s="695">
        <f>[1]CO99!$J$64</f>
        <v>0</v>
      </c>
      <c r="L1391" s="696"/>
      <c r="M1391" s="2"/>
      <c r="N1391" s="2"/>
      <c r="O1391" s="2"/>
      <c r="S1391" s="2"/>
      <c r="AK1391" s="2"/>
    </row>
    <row r="1392" spans="2:37">
      <c r="B1392" s="1" t="s">
        <v>95</v>
      </c>
      <c r="C1392" s="1"/>
      <c r="D1392" s="538">
        <f>[1]CO99!$E$65</f>
        <v>0</v>
      </c>
      <c r="E1392" s="2"/>
      <c r="G1392" s="699">
        <f>[1]CO99!$G$65</f>
        <v>0</v>
      </c>
      <c r="H1392" s="700"/>
      <c r="J1392" s="2"/>
      <c r="K1392" s="699">
        <f>[1]CO99!$J$65</f>
        <v>0</v>
      </c>
      <c r="L1392" s="700"/>
      <c r="M1392" s="2"/>
      <c r="N1392" s="2"/>
      <c r="O1392" s="2"/>
      <c r="S1392" s="2"/>
      <c r="AK1392" s="2"/>
    </row>
    <row r="1393" spans="2:37">
      <c r="B1393" s="223" t="s">
        <v>171</v>
      </c>
      <c r="C1393" s="223"/>
      <c r="D1393" s="537">
        <f>[1]CO99!$E$66</f>
        <v>0</v>
      </c>
      <c r="E1393" s="2"/>
      <c r="G1393" s="695">
        <f>[1]CO99!$G$66</f>
        <v>0</v>
      </c>
      <c r="H1393" s="696"/>
      <c r="J1393" s="2"/>
      <c r="K1393" s="695">
        <f>[1]CO99!$J$66</f>
        <v>0</v>
      </c>
      <c r="L1393" s="696"/>
      <c r="M1393" s="2"/>
      <c r="N1393" s="2"/>
      <c r="O1393" s="2"/>
      <c r="S1393" s="2"/>
      <c r="AK1393" s="2"/>
    </row>
    <row r="1394" spans="2:37">
      <c r="B1394" s="370" t="str">
        <f>[1]OpenData!$O$53</f>
        <v>Recreation Commission</v>
      </c>
      <c r="C1394" s="1"/>
      <c r="D1394" s="538">
        <f>[1]CO99!$E$67</f>
        <v>2.266</v>
      </c>
      <c r="E1394" s="2"/>
      <c r="G1394" s="699">
        <f>[1]CO99!$G$67</f>
        <v>2.3410000000000002</v>
      </c>
      <c r="H1394" s="700"/>
      <c r="J1394" s="2"/>
      <c r="K1394" s="699">
        <f>[1]CO99!$J$67</f>
        <v>2</v>
      </c>
      <c r="L1394" s="700"/>
      <c r="M1394" s="2"/>
      <c r="N1394" s="2"/>
      <c r="O1394" s="2"/>
      <c r="S1394" s="2"/>
      <c r="AK1394" s="2"/>
    </row>
    <row r="1395" spans="2:37" ht="15" thickBot="1">
      <c r="B1395" s="471" t="str">
        <f>[1]OpenData!$Q$62</f>
        <v>Rec Comm Employee Bnfts</v>
      </c>
      <c r="C1395" s="472"/>
      <c r="D1395" s="541">
        <f>[1]CO99!$E$68</f>
        <v>0</v>
      </c>
      <c r="E1395" s="2"/>
      <c r="G1395" s="703">
        <f>[1]CO99!$G$68</f>
        <v>0</v>
      </c>
      <c r="H1395" s="704"/>
      <c r="J1395" s="2"/>
      <c r="K1395" s="703">
        <f>[1]CO99!$J$68</f>
        <v>0</v>
      </c>
      <c r="L1395" s="704"/>
      <c r="M1395" s="2"/>
      <c r="N1395" s="2"/>
      <c r="O1395" s="2"/>
      <c r="S1395" s="2"/>
      <c r="AK1395" s="2"/>
    </row>
    <row r="1396" spans="2:37" ht="15" thickTop="1">
      <c r="B1396" s="470" t="s">
        <v>91</v>
      </c>
      <c r="C1396" s="289"/>
      <c r="D1396" s="540">
        <f>SUM(D1391:D1395)</f>
        <v>2.266</v>
      </c>
      <c r="E1396" s="2"/>
      <c r="G1396" s="701">
        <f>SUM(G1391:H1395)</f>
        <v>2.3410000000000002</v>
      </c>
      <c r="H1396" s="702"/>
      <c r="J1396" s="2"/>
      <c r="K1396" s="701">
        <f>SUM(K1391:L1395)</f>
        <v>2</v>
      </c>
      <c r="L1396" s="702"/>
      <c r="M1396" s="2"/>
      <c r="N1396" s="2"/>
      <c r="O1396" s="2"/>
      <c r="S1396" s="2"/>
      <c r="AK1396" s="2"/>
    </row>
    <row r="1397" spans="2:37">
      <c r="B1397" s="4"/>
      <c r="C1397" s="2"/>
      <c r="D1397" s="473"/>
      <c r="E1397" s="2"/>
      <c r="F1397" s="473"/>
      <c r="G1397" s="2"/>
      <c r="H1397" s="2"/>
      <c r="I1397" s="473"/>
      <c r="J1397" s="2"/>
      <c r="K1397" s="2"/>
      <c r="L1397" s="2"/>
      <c r="M1397" s="2"/>
      <c r="N1397" s="2"/>
      <c r="O1397" s="2"/>
      <c r="S1397" s="2"/>
      <c r="AK1397" s="2"/>
    </row>
    <row r="1398" spans="2:37">
      <c r="B1398" s="4"/>
      <c r="C1398" s="2"/>
      <c r="D1398" s="473"/>
      <c r="E1398" s="2"/>
      <c r="F1398" s="473"/>
      <c r="G1398" s="2"/>
      <c r="H1398" s="2"/>
      <c r="I1398" s="473"/>
      <c r="J1398" s="2"/>
      <c r="K1398" s="2"/>
      <c r="L1398" s="2"/>
      <c r="M1398" s="2"/>
      <c r="N1398" s="2"/>
      <c r="O1398" s="2"/>
      <c r="S1398" s="2"/>
      <c r="AK1398" s="2"/>
    </row>
    <row r="1399" spans="2:37">
      <c r="B1399" s="4"/>
      <c r="C1399" s="2"/>
      <c r="D1399" s="473"/>
      <c r="E1399" s="2"/>
      <c r="F1399" s="473"/>
      <c r="G1399" s="2"/>
      <c r="H1399" s="2"/>
      <c r="I1399" s="473"/>
      <c r="J1399" s="2"/>
      <c r="K1399" s="2"/>
      <c r="L1399" s="2"/>
      <c r="M1399" s="2"/>
      <c r="N1399" s="2"/>
      <c r="O1399" s="2"/>
      <c r="S1399" s="2"/>
      <c r="AK1399" s="2"/>
    </row>
    <row r="1400" spans="2:37">
      <c r="B1400" s="4"/>
      <c r="C1400" s="2"/>
      <c r="D1400" s="473"/>
      <c r="E1400" s="2"/>
      <c r="F1400" s="473"/>
      <c r="G1400" s="2"/>
      <c r="H1400" s="2"/>
      <c r="I1400" s="473"/>
      <c r="J1400" s="2"/>
      <c r="K1400" s="2"/>
      <c r="L1400" s="2"/>
      <c r="M1400" s="2"/>
      <c r="N1400" s="2"/>
      <c r="O1400" s="2"/>
      <c r="S1400" s="2"/>
      <c r="AK1400" s="2"/>
    </row>
    <row r="1401" spans="2:37">
      <c r="B1401" s="4"/>
      <c r="C1401" s="2"/>
      <c r="D1401" s="473"/>
      <c r="E1401" s="2"/>
      <c r="F1401" s="473"/>
      <c r="G1401" s="2"/>
      <c r="H1401" s="2"/>
      <c r="I1401" s="473"/>
      <c r="J1401" s="2"/>
      <c r="K1401" s="2"/>
      <c r="L1401" s="2"/>
      <c r="M1401" s="2"/>
      <c r="N1401" s="2"/>
      <c r="O1401" s="2" t="s">
        <v>97</v>
      </c>
      <c r="P1401" s="2"/>
      <c r="Q1401" s="2"/>
      <c r="S1401" s="2"/>
      <c r="AK1401" s="2"/>
    </row>
    <row r="1402" spans="2:37">
      <c r="B1402" s="4"/>
      <c r="C1402" s="2"/>
      <c r="D1402" s="473"/>
      <c r="E1402" s="2"/>
      <c r="F1402" s="473"/>
      <c r="G1402" s="2"/>
      <c r="H1402" s="2"/>
      <c r="I1402" s="473"/>
      <c r="J1402" s="2"/>
      <c r="K1402" s="2"/>
      <c r="L1402" s="2"/>
      <c r="M1402" s="2"/>
      <c r="N1402" s="2"/>
      <c r="O1402" s="82" t="str">
        <f>D1374</f>
        <v>2023-2024</v>
      </c>
      <c r="P1402" s="82" t="str">
        <f>G1374</f>
        <v>2024-2025</v>
      </c>
      <c r="Q1402" s="82" t="str">
        <f>K1374</f>
        <v>2025-2026</v>
      </c>
      <c r="S1402" s="2"/>
      <c r="AK1402" s="2"/>
    </row>
    <row r="1403" spans="2:37">
      <c r="B1403" s="4"/>
      <c r="C1403" s="2"/>
      <c r="D1403" s="473"/>
      <c r="E1403" s="2"/>
      <c r="F1403" s="473"/>
      <c r="G1403" s="2"/>
      <c r="H1403" s="2"/>
      <c r="I1403" s="473"/>
      <c r="J1403" s="2"/>
      <c r="K1403" s="2"/>
      <c r="L1403" s="2"/>
      <c r="M1403" s="2"/>
      <c r="N1403" s="2"/>
      <c r="O1403" s="467">
        <f>IF(AND($D1390&lt;=0,$G1390&lt;=0,$K1390&lt;=0),#N/A,IF($D1390&lt;=0,0,$D1390))</f>
        <v>56.031999999999996</v>
      </c>
      <c r="P1403" s="467">
        <f>IF(AND($D1390&lt;=0,$G1390&lt;=0,$K1390&lt;=0),#N/A,IF($G1390&lt;=0,0,$G1390))</f>
        <v>55.904000000000003</v>
      </c>
      <c r="Q1403" s="467">
        <f>IF(AND($D1390&lt;=0,$G1390&lt;=0,$K1390&lt;=0),#N/A,IF($K1390&lt;=0,0,$K1390))</f>
        <v>59.728000000000002</v>
      </c>
      <c r="S1403" s="2"/>
      <c r="AK1403" s="2"/>
    </row>
    <row r="1404" spans="2:37">
      <c r="B1404" s="4"/>
      <c r="C1404" s="2"/>
      <c r="D1404" s="473"/>
      <c r="E1404" s="2"/>
      <c r="F1404" s="473"/>
      <c r="G1404" s="2"/>
      <c r="H1404" s="2"/>
      <c r="I1404" s="473"/>
      <c r="J1404" s="2"/>
      <c r="K1404" s="2"/>
      <c r="L1404" s="2"/>
      <c r="M1404" s="2"/>
      <c r="N1404" s="2"/>
      <c r="O1404" s="2"/>
      <c r="S1404" s="2"/>
      <c r="AK1404" s="2"/>
    </row>
    <row r="1405" spans="2:37">
      <c r="B1405" s="4"/>
      <c r="C1405" s="2"/>
      <c r="D1405" s="473"/>
      <c r="E1405" s="2"/>
      <c r="F1405" s="473"/>
      <c r="G1405" s="2"/>
      <c r="H1405" s="2"/>
      <c r="I1405" s="473"/>
      <c r="J1405" s="2"/>
      <c r="K1405" s="2"/>
      <c r="L1405" s="2"/>
      <c r="M1405" s="2"/>
      <c r="N1405" s="2"/>
      <c r="O1405" s="2"/>
      <c r="S1405" s="2"/>
      <c r="AK1405" s="2"/>
    </row>
    <row r="1406" spans="2:37">
      <c r="B1406" s="4"/>
      <c r="C1406" s="2"/>
      <c r="D1406" s="473"/>
      <c r="E1406" s="2"/>
      <c r="F1406" s="473"/>
      <c r="G1406" s="2"/>
      <c r="H1406" s="2"/>
      <c r="I1406" s="473"/>
      <c r="J1406" s="2"/>
      <c r="K1406" s="2"/>
      <c r="L1406" s="2"/>
      <c r="M1406" s="2"/>
      <c r="N1406" s="2"/>
      <c r="O1406" s="2"/>
      <c r="S1406" s="2"/>
      <c r="AK1406" s="2"/>
    </row>
    <row r="1407" spans="2:37">
      <c r="B1407" s="4"/>
      <c r="C1407" s="2"/>
      <c r="D1407" s="473"/>
      <c r="E1407" s="2"/>
      <c r="F1407" s="473"/>
      <c r="G1407" s="2"/>
      <c r="H1407" s="2"/>
      <c r="I1407" s="473"/>
      <c r="J1407" s="2"/>
      <c r="K1407" s="2"/>
      <c r="L1407" s="2"/>
      <c r="M1407" s="2"/>
      <c r="N1407" s="2"/>
      <c r="O1407" s="2"/>
      <c r="S1407" s="2"/>
      <c r="AK1407" s="2"/>
    </row>
    <row r="1408" spans="2:37">
      <c r="B1408" s="4"/>
      <c r="C1408" s="2"/>
      <c r="D1408" s="473"/>
      <c r="E1408" s="2"/>
      <c r="F1408" s="473"/>
      <c r="G1408" s="2"/>
      <c r="H1408" s="2"/>
      <c r="I1408" s="473"/>
      <c r="J1408" s="2"/>
      <c r="K1408" s="2"/>
      <c r="L1408" s="2"/>
      <c r="M1408" s="2"/>
      <c r="N1408" s="2"/>
      <c r="O1408" s="2"/>
      <c r="S1408" s="2"/>
      <c r="AK1408" s="2"/>
    </row>
    <row r="1409" spans="2:37">
      <c r="B1409" s="4"/>
      <c r="C1409" s="2"/>
      <c r="D1409" s="473"/>
      <c r="E1409" s="2"/>
      <c r="F1409" s="473"/>
      <c r="G1409" s="2"/>
      <c r="H1409" s="2"/>
      <c r="I1409" s="473"/>
      <c r="J1409" s="2"/>
      <c r="K1409" s="2"/>
      <c r="L1409" s="2"/>
      <c r="M1409" s="2"/>
      <c r="N1409" s="2"/>
      <c r="O1409" s="2"/>
      <c r="S1409" s="2"/>
      <c r="AK1409" s="2"/>
    </row>
    <row r="1410" spans="2:37">
      <c r="B1410" s="4"/>
      <c r="C1410" s="2"/>
      <c r="D1410" s="473"/>
      <c r="E1410" s="2"/>
      <c r="F1410" s="473"/>
      <c r="G1410" s="2"/>
      <c r="H1410" s="2"/>
      <c r="I1410" s="473"/>
      <c r="J1410" s="2"/>
      <c r="K1410" s="2"/>
      <c r="L1410" s="2"/>
      <c r="M1410" s="2"/>
      <c r="N1410" s="2"/>
      <c r="O1410" s="2"/>
      <c r="R1410" s="2"/>
      <c r="S1410" s="2"/>
      <c r="AK1410" s="2"/>
    </row>
    <row r="1411" spans="2:37">
      <c r="B1411" s="4"/>
      <c r="C1411" s="2"/>
      <c r="D1411" s="473"/>
      <c r="E1411" s="2"/>
      <c r="F1411" s="473"/>
      <c r="G1411" s="2"/>
      <c r="H1411" s="2"/>
      <c r="I1411" s="473"/>
      <c r="J1411" s="2"/>
      <c r="K1411" s="2"/>
      <c r="L1411" s="2"/>
      <c r="M1411" s="2"/>
      <c r="N1411" s="2"/>
      <c r="O1411" s="2"/>
      <c r="P1411" s="2"/>
      <c r="Q1411" s="2"/>
      <c r="R1411" s="2"/>
      <c r="S1411" s="2"/>
      <c r="AK1411" s="2"/>
    </row>
    <row r="1412" spans="2:37">
      <c r="B1412" s="4"/>
      <c r="C1412" s="2"/>
      <c r="D1412" s="473"/>
      <c r="E1412" s="2"/>
      <c r="F1412" s="473"/>
      <c r="G1412" s="2"/>
      <c r="H1412" s="2"/>
      <c r="I1412" s="473"/>
      <c r="J1412" s="2"/>
      <c r="K1412" s="2"/>
      <c r="L1412" s="2"/>
      <c r="M1412" s="2"/>
      <c r="N1412" s="2"/>
      <c r="O1412" s="2"/>
      <c r="S1412" s="2"/>
      <c r="AK1412" s="2"/>
    </row>
    <row r="1413" spans="2:37">
      <c r="B1413" s="4"/>
      <c r="C1413" s="2"/>
      <c r="D1413" s="473"/>
      <c r="E1413" s="2"/>
      <c r="F1413" s="473"/>
      <c r="G1413" s="2"/>
      <c r="H1413" s="2"/>
      <c r="I1413" s="473"/>
      <c r="J1413" s="2"/>
      <c r="K1413" s="2"/>
      <c r="L1413" s="2"/>
      <c r="M1413" s="2"/>
      <c r="N1413" s="2"/>
      <c r="O1413" s="2"/>
      <c r="S1413" s="2"/>
      <c r="AK1413" s="2"/>
    </row>
    <row r="1414" spans="2:37">
      <c r="B1414" s="4"/>
      <c r="C1414" s="2"/>
      <c r="D1414" s="473"/>
      <c r="E1414" s="2"/>
      <c r="F1414" s="473"/>
      <c r="G1414" s="2"/>
      <c r="H1414" s="2"/>
      <c r="I1414" s="473"/>
      <c r="J1414" s="2"/>
      <c r="K1414" s="2"/>
      <c r="L1414" s="2"/>
      <c r="M1414" s="2"/>
      <c r="N1414" s="2"/>
      <c r="O1414" s="2"/>
      <c r="S1414" s="2"/>
      <c r="AK1414" s="2"/>
    </row>
    <row r="1415" spans="2:37">
      <c r="M1415" s="2"/>
      <c r="N1415" s="2"/>
      <c r="O1415" s="2"/>
      <c r="P1415" s="2"/>
      <c r="Q1415" s="2"/>
      <c r="R1415" s="2"/>
      <c r="S1415" s="2"/>
      <c r="AK1415" s="2"/>
    </row>
    <row r="1416" spans="2:37">
      <c r="M1416" s="2"/>
      <c r="N1416" s="2"/>
      <c r="O1416" s="2" t="s">
        <v>96</v>
      </c>
      <c r="P1416" s="2"/>
      <c r="Q1416" s="2"/>
      <c r="R1416" s="2"/>
      <c r="S1416" s="2"/>
      <c r="AK1416" s="2"/>
    </row>
    <row r="1417" spans="2:37">
      <c r="M1417" s="2"/>
      <c r="N1417" s="2"/>
      <c r="O1417" s="2"/>
      <c r="P1417" s="82" t="str">
        <f>I4</f>
        <v>2025-2026</v>
      </c>
      <c r="Q1417" s="2"/>
      <c r="R1417" s="2"/>
      <c r="S1417" s="2"/>
      <c r="AK1417" s="2"/>
    </row>
    <row r="1418" spans="2:37">
      <c r="M1418" s="2"/>
      <c r="N1418" s="2"/>
      <c r="O1418" s="140" t="str">
        <f t="shared" ref="O1418:O1430" si="109">$B1376&amp;": "&amp;IFERROR(IF(K1376/$K$1390&gt;=0.01,P1418*100,IF(AND(K1376/$K$1390&lt;0.01,K1376/$K$1390&gt;0),LEFT(K1376,2),0)),0)&amp;"%"</f>
        <v>General: 33%</v>
      </c>
      <c r="P1418" s="210">
        <f t="shared" ref="P1418:P1430" si="110">IF(K1376/$K$1390&lt;0.01,#N/A,$K1376/$K$1390)</f>
        <v>0.33</v>
      </c>
      <c r="Q1418" s="140" t="str">
        <f t="shared" ref="Q1418:Q1430" si="111">LEFT(O1418,(FIND(":",O1418)-1))</f>
        <v>General</v>
      </c>
      <c r="R1418" s="2"/>
      <c r="S1418" s="2"/>
      <c r="AK1418" s="2"/>
    </row>
    <row r="1419" spans="2:37">
      <c r="M1419" s="2"/>
      <c r="N1419" s="2"/>
      <c r="O1419" s="140" t="str">
        <f t="shared" si="109"/>
        <v>Supplemental General: 39%</v>
      </c>
      <c r="P1419" s="210">
        <f t="shared" si="110"/>
        <v>0.39</v>
      </c>
      <c r="Q1419" s="140" t="str">
        <f t="shared" si="111"/>
        <v>Supplemental General</v>
      </c>
      <c r="R1419" s="2"/>
      <c r="S1419" s="2"/>
      <c r="AK1419" s="2"/>
    </row>
    <row r="1420" spans="2:37">
      <c r="M1420" s="2"/>
      <c r="N1420" s="2"/>
      <c r="O1420" s="140" t="str">
        <f t="shared" si="109"/>
        <v>Adult Education: 0%</v>
      </c>
      <c r="P1420" s="210" t="e">
        <f t="shared" si="110"/>
        <v>#N/A</v>
      </c>
      <c r="Q1420" s="140" t="str">
        <f t="shared" si="111"/>
        <v>Adult Education</v>
      </c>
      <c r="R1420" s="2"/>
      <c r="S1420" s="2"/>
      <c r="AK1420" s="2"/>
    </row>
    <row r="1421" spans="2:37">
      <c r="M1421" s="2"/>
      <c r="N1421" s="2"/>
      <c r="O1421" s="140" t="str">
        <f t="shared" si="109"/>
        <v>Capital Outlay: 13%</v>
      </c>
      <c r="P1421" s="210">
        <f t="shared" si="110"/>
        <v>0.13</v>
      </c>
      <c r="Q1421" s="140" t="str">
        <f t="shared" si="111"/>
        <v>Capital Outlay</v>
      </c>
      <c r="R1421" s="2"/>
      <c r="S1421" s="2"/>
      <c r="AK1421" s="2"/>
    </row>
    <row r="1422" spans="2:37">
      <c r="M1422" s="2"/>
      <c r="N1422" s="2"/>
      <c r="O1422" s="140" t="str">
        <f t="shared" si="109"/>
        <v>Declining Enrollment: 0%</v>
      </c>
      <c r="P1422" s="210" t="e">
        <f t="shared" si="110"/>
        <v>#N/A</v>
      </c>
      <c r="Q1422" s="140" t="str">
        <f t="shared" si="111"/>
        <v>Declining Enrollment</v>
      </c>
      <c r="R1422" s="2"/>
      <c r="S1422" s="2"/>
      <c r="AK1422" s="2"/>
    </row>
    <row r="1423" spans="2:37">
      <c r="B1423" s="4"/>
      <c r="C1423" s="2"/>
      <c r="D1423" s="473"/>
      <c r="E1423" s="2"/>
      <c r="F1423" s="473"/>
      <c r="G1423" s="2"/>
      <c r="H1423" s="2"/>
      <c r="I1423" s="473"/>
      <c r="J1423" s="2"/>
      <c r="K1423" s="2"/>
      <c r="L1423" s="2"/>
      <c r="M1423" s="2"/>
      <c r="N1423" s="2"/>
      <c r="O1423" s="140" t="str">
        <f t="shared" si="109"/>
        <v>Cost of Living: 0%</v>
      </c>
      <c r="P1423" s="210" t="e">
        <f t="shared" si="110"/>
        <v>#N/A</v>
      </c>
      <c r="Q1423" s="140" t="str">
        <f t="shared" si="111"/>
        <v>Cost of Living</v>
      </c>
      <c r="R1423" s="2"/>
      <c r="S1423" s="2"/>
      <c r="AK1423" s="2"/>
    </row>
    <row r="1424" spans="2:37">
      <c r="B1424" s="4"/>
      <c r="C1424" s="2"/>
      <c r="D1424" s="473"/>
      <c r="E1424" s="2"/>
      <c r="F1424" s="473"/>
      <c r="G1424" s="2"/>
      <c r="H1424" s="2"/>
      <c r="I1424" s="473"/>
      <c r="J1424" s="2"/>
      <c r="K1424" s="2"/>
      <c r="L1424" s="2"/>
      <c r="M1424" s="2"/>
      <c r="N1424" s="2"/>
      <c r="O1424" s="140" t="str">
        <f t="shared" si="109"/>
        <v>Special Liability : 0%</v>
      </c>
      <c r="P1424" s="210" t="e">
        <f t="shared" si="110"/>
        <v>#N/A</v>
      </c>
      <c r="Q1424" s="140" t="str">
        <f t="shared" si="111"/>
        <v xml:space="preserve">Special Liability </v>
      </c>
      <c r="R1424" s="2"/>
      <c r="S1424" s="2"/>
      <c r="AK1424" s="2"/>
    </row>
    <row r="1425" spans="2:37">
      <c r="B1425" s="4"/>
      <c r="C1425" s="2"/>
      <c r="D1425" s="473"/>
      <c r="E1425" s="2"/>
      <c r="F1425" s="473"/>
      <c r="G1425" s="2"/>
      <c r="H1425" s="2"/>
      <c r="I1425" s="473"/>
      <c r="J1425" s="2"/>
      <c r="K1425" s="2"/>
      <c r="L1425" s="2"/>
      <c r="M1425" s="2"/>
      <c r="N1425" s="2"/>
      <c r="O1425" s="140" t="str">
        <f t="shared" si="109"/>
        <v>School Retirement: 0%</v>
      </c>
      <c r="P1425" s="210" t="e">
        <f t="shared" si="110"/>
        <v>#N/A</v>
      </c>
      <c r="Q1425" s="140" t="str">
        <f t="shared" si="111"/>
        <v>School Retirement</v>
      </c>
      <c r="R1425" s="2"/>
      <c r="S1425" s="2"/>
      <c r="AK1425" s="2"/>
    </row>
    <row r="1426" spans="2:37">
      <c r="B1426" s="4"/>
      <c r="C1426" s="2"/>
      <c r="D1426" s="473"/>
      <c r="E1426" s="2"/>
      <c r="F1426" s="473"/>
      <c r="G1426" s="2"/>
      <c r="H1426" s="2"/>
      <c r="I1426" s="473"/>
      <c r="J1426" s="2"/>
      <c r="K1426" s="2"/>
      <c r="L1426" s="2"/>
      <c r="M1426" s="2"/>
      <c r="N1426" s="2"/>
      <c r="O1426" s="140" t="str">
        <f t="shared" si="109"/>
        <v>Extraordinary Growth Facilities: 0%</v>
      </c>
      <c r="P1426" s="210" t="e">
        <f t="shared" si="110"/>
        <v>#N/A</v>
      </c>
      <c r="Q1426" s="140" t="str">
        <f t="shared" si="111"/>
        <v>Extraordinary Growth Facilities</v>
      </c>
      <c r="R1426" s="2"/>
      <c r="S1426" s="2"/>
      <c r="AK1426" s="2"/>
    </row>
    <row r="1427" spans="2:37">
      <c r="B1427" s="4"/>
      <c r="C1427" s="2"/>
      <c r="D1427" s="473"/>
      <c r="E1427" s="2"/>
      <c r="F1427" s="473"/>
      <c r="G1427" s="2"/>
      <c r="H1427" s="2"/>
      <c r="I1427" s="473"/>
      <c r="J1427" s="2"/>
      <c r="K1427" s="2"/>
      <c r="L1427" s="2"/>
      <c r="M1427" s="2"/>
      <c r="N1427" s="2"/>
      <c r="O1427" s="140" t="str">
        <f t="shared" si="109"/>
        <v>Bond and Interest #1: 14%</v>
      </c>
      <c r="P1427" s="210">
        <f t="shared" si="110"/>
        <v>0.14000000000000001</v>
      </c>
      <c r="Q1427" s="140" t="str">
        <f t="shared" si="111"/>
        <v>Bond and Interest #1</v>
      </c>
      <c r="R1427" s="2"/>
      <c r="S1427" s="2"/>
      <c r="AK1427" s="2"/>
    </row>
    <row r="1428" spans="2:37">
      <c r="B1428" s="4"/>
      <c r="C1428" s="2"/>
      <c r="D1428" s="473"/>
      <c r="E1428" s="2"/>
      <c r="F1428" s="473"/>
      <c r="G1428" s="2"/>
      <c r="H1428" s="2"/>
      <c r="I1428" s="473"/>
      <c r="J1428" s="2"/>
      <c r="K1428" s="2"/>
      <c r="L1428" s="2"/>
      <c r="M1428" s="2"/>
      <c r="N1428" s="2"/>
      <c r="O1428" s="140" t="str">
        <f t="shared" si="109"/>
        <v>Bond and Interest #2: 0%</v>
      </c>
      <c r="P1428" s="210" t="e">
        <f t="shared" si="110"/>
        <v>#N/A</v>
      </c>
      <c r="Q1428" s="140" t="str">
        <f t="shared" si="111"/>
        <v>Bond and Interest #2</v>
      </c>
      <c r="S1428" s="2"/>
      <c r="AK1428" s="2"/>
    </row>
    <row r="1429" spans="2:37">
      <c r="B1429" s="4"/>
      <c r="C1429" s="2"/>
      <c r="D1429" s="473"/>
      <c r="E1429" s="2"/>
      <c r="F1429" s="473"/>
      <c r="G1429" s="2"/>
      <c r="H1429" s="2"/>
      <c r="I1429" s="473"/>
      <c r="J1429" s="2"/>
      <c r="K1429" s="2"/>
      <c r="L1429" s="2"/>
      <c r="M1429" s="2"/>
      <c r="N1429" s="2"/>
      <c r="O1429" s="140" t="str">
        <f t="shared" si="109"/>
        <v>No Fund Warrant: 0%</v>
      </c>
      <c r="P1429" s="210" t="e">
        <f t="shared" si="110"/>
        <v>#N/A</v>
      </c>
      <c r="Q1429" s="140" t="str">
        <f t="shared" si="111"/>
        <v>No Fund Warrant</v>
      </c>
      <c r="S1429" s="2"/>
      <c r="AK1429" s="2"/>
    </row>
    <row r="1430" spans="2:37">
      <c r="B1430" s="4"/>
      <c r="C1430" s="2"/>
      <c r="D1430" s="473"/>
      <c r="E1430" s="2"/>
      <c r="F1430" s="473"/>
      <c r="G1430" s="2"/>
      <c r="H1430" s="2"/>
      <c r="I1430" s="473"/>
      <c r="J1430" s="2"/>
      <c r="K1430" s="2"/>
      <c r="L1430" s="2"/>
      <c r="M1430" s="2"/>
      <c r="N1430" s="2"/>
      <c r="O1430" s="140" t="str">
        <f t="shared" si="109"/>
        <v>Special Assessment: 0%</v>
      </c>
      <c r="P1430" s="210" t="e">
        <f t="shared" si="110"/>
        <v>#N/A</v>
      </c>
      <c r="Q1430" s="140" t="str">
        <f t="shared" si="111"/>
        <v>Special Assessment</v>
      </c>
      <c r="S1430" s="2"/>
      <c r="AK1430" s="2"/>
    </row>
    <row r="1431" spans="2:37">
      <c r="B1431" s="4"/>
      <c r="C1431" s="2"/>
      <c r="D1431" s="473"/>
      <c r="E1431" s="2"/>
      <c r="F1431" s="473"/>
      <c r="G1431" s="2"/>
      <c r="H1431" s="2"/>
      <c r="I1431" s="473"/>
      <c r="J1431" s="2"/>
      <c r="K1431" s="2"/>
      <c r="L1431" s="2"/>
      <c r="M1431" s="2"/>
      <c r="N1431" s="2"/>
      <c r="O1431" s="140" t="str">
        <f>$B1389&amp;": "&amp;IFERROR(IF(K1389/$K$1390&gt;=0.01,P1431*100,IF(AND(K1389/$K$1390&lt;0.01,K1389/$K$1390&gt;0),LEFT(K1389,2),0)),0)&amp;"%"</f>
        <v>Temporary Note: 0%</v>
      </c>
      <c r="P1431" s="210" t="e">
        <f>IF(K1389/$K$1390&lt;0.01,#N/A,$K1389/$K$1390)</f>
        <v>#N/A</v>
      </c>
      <c r="Q1431" s="140" t="str">
        <f>LEFT(O1431,(FIND(":",O1431)-1))</f>
        <v>Temporary Note</v>
      </c>
      <c r="R1431" s="2"/>
      <c r="S1431" s="2"/>
      <c r="AK1431" s="2"/>
    </row>
    <row r="1432" spans="2:37">
      <c r="B1432" s="4"/>
      <c r="C1432" s="2"/>
      <c r="D1432" s="473"/>
      <c r="E1432" s="2"/>
      <c r="F1432" s="473"/>
      <c r="G1432" s="2"/>
      <c r="H1432" s="2"/>
      <c r="I1432" s="473"/>
      <c r="J1432" s="2"/>
      <c r="K1432" s="2"/>
      <c r="L1432" s="2"/>
      <c r="M1432" s="2"/>
      <c r="N1432" s="2"/>
      <c r="R1432" s="2"/>
      <c r="S1432" s="2"/>
      <c r="AK1432" s="2"/>
    </row>
    <row r="1433" spans="2:37">
      <c r="B1433" s="4"/>
      <c r="C1433" s="2"/>
      <c r="D1433" s="473"/>
      <c r="E1433" s="2"/>
      <c r="F1433" s="473"/>
      <c r="G1433" s="2"/>
      <c r="H1433" s="2"/>
      <c r="I1433" s="473"/>
      <c r="J1433" s="2"/>
      <c r="K1433" s="2"/>
      <c r="L1433" s="2"/>
      <c r="M1433" s="2"/>
      <c r="N1433" s="2"/>
      <c r="R1433" s="2"/>
      <c r="S1433" s="2"/>
      <c r="AK1433" s="2"/>
    </row>
    <row r="1434" spans="2:37" ht="18">
      <c r="B1434" s="296" t="s">
        <v>98</v>
      </c>
      <c r="C1434" s="143"/>
      <c r="D1434" s="143"/>
      <c r="E1434" s="143"/>
      <c r="F1434" s="143"/>
      <c r="G1434" s="143"/>
      <c r="H1434" s="143"/>
      <c r="I1434" s="143"/>
      <c r="J1434" s="143"/>
      <c r="K1434" s="143"/>
      <c r="L1434" s="143"/>
      <c r="M1434" s="2"/>
      <c r="N1434" s="2"/>
      <c r="S1434" s="2"/>
      <c r="AK1434" s="2"/>
    </row>
    <row r="1435" spans="2:37">
      <c r="B1435" s="2"/>
      <c r="C1435" s="42" t="s">
        <v>1</v>
      </c>
      <c r="E1435" s="4"/>
      <c r="G1435" s="4"/>
      <c r="H1435" s="4"/>
      <c r="J1435" s="2"/>
      <c r="K1435" s="2"/>
      <c r="L1435" s="2"/>
      <c r="M1435" s="2"/>
      <c r="N1435" s="2"/>
      <c r="O1435" s="2"/>
      <c r="P1435" s="2"/>
      <c r="Q1435" s="2"/>
      <c r="R1435" s="2"/>
      <c r="S1435" s="2"/>
      <c r="AK1435" s="2"/>
    </row>
    <row r="1436" spans="2:37">
      <c r="B1436" s="2"/>
      <c r="C1436" s="43"/>
      <c r="D1436" s="474" t="str">
        <f>D4</f>
        <v>2023-2024</v>
      </c>
      <c r="E1436" s="2"/>
      <c r="G1436" s="691" t="str">
        <f>F4</f>
        <v>2024-2025</v>
      </c>
      <c r="H1436" s="692"/>
      <c r="J1436" s="2"/>
      <c r="K1436" s="691" t="str">
        <f>I4</f>
        <v>2025-2026</v>
      </c>
      <c r="L1436" s="692"/>
      <c r="M1436" s="2"/>
      <c r="N1436" s="2"/>
      <c r="S1436" s="2"/>
      <c r="AK1436" s="2"/>
    </row>
    <row r="1437" spans="2:37">
      <c r="B1437" s="2"/>
      <c r="C1437" s="301" t="s">
        <v>4</v>
      </c>
      <c r="D1437" s="300" t="s">
        <v>5</v>
      </c>
      <c r="E1437" s="2"/>
      <c r="G1437" s="689" t="s">
        <v>5</v>
      </c>
      <c r="H1437" s="690"/>
      <c r="J1437" s="2"/>
      <c r="K1437" s="689" t="s">
        <v>6</v>
      </c>
      <c r="L1437" s="690"/>
      <c r="M1437" s="2"/>
      <c r="N1437" s="2"/>
      <c r="S1437" s="2"/>
      <c r="AK1437" s="2"/>
    </row>
    <row r="1438" spans="2:37">
      <c r="B1438" s="1" t="s">
        <v>99</v>
      </c>
      <c r="C1438" s="44"/>
      <c r="D1438" s="475">
        <f>[1]OPEN!$A$9</f>
        <v>18536236</v>
      </c>
      <c r="E1438" s="476"/>
      <c r="F1438" s="90"/>
      <c r="G1438" s="687">
        <f>[1]OPEN!$A$12</f>
        <v>17978257</v>
      </c>
      <c r="H1438" s="688"/>
      <c r="I1438" s="383"/>
      <c r="J1438" s="477"/>
      <c r="K1438" s="687">
        <f>[1]OPEN!$A$15</f>
        <v>19995239</v>
      </c>
      <c r="L1438" s="688"/>
      <c r="M1438" s="2"/>
      <c r="N1438" s="2"/>
      <c r="S1438" s="2"/>
      <c r="AK1438" s="2"/>
    </row>
    <row r="1439" spans="2:37">
      <c r="B1439" s="307" t="s">
        <v>133</v>
      </c>
      <c r="C1439" s="307"/>
      <c r="D1439" s="478">
        <f>[1]CO99!$D$82</f>
        <v>1020000</v>
      </c>
      <c r="E1439" s="479"/>
      <c r="G1439" s="685">
        <f>[1]CO99!$F$82</f>
        <v>895000</v>
      </c>
      <c r="H1439" s="686"/>
      <c r="J1439" s="2"/>
      <c r="K1439" s="685">
        <f>[1]CO99!$H$82</f>
        <v>765000</v>
      </c>
      <c r="L1439" s="686"/>
      <c r="M1439" s="2"/>
      <c r="N1439" s="2"/>
      <c r="O1439" s="2"/>
      <c r="P1439" s="2"/>
      <c r="Q1439" s="2"/>
      <c r="R1439" s="2"/>
      <c r="S1439" s="2"/>
      <c r="AK1439" s="2"/>
    </row>
    <row r="1440" spans="2:37">
      <c r="B1440" s="4"/>
      <c r="C1440" s="2"/>
      <c r="D1440" s="473"/>
      <c r="E1440" s="2"/>
      <c r="F1440" s="473"/>
      <c r="G1440" s="2"/>
      <c r="H1440" s="2"/>
      <c r="I1440" s="473"/>
      <c r="J1440" s="2"/>
      <c r="K1440" s="2"/>
      <c r="L1440" s="2"/>
      <c r="M1440" s="2"/>
      <c r="N1440" s="2"/>
      <c r="O1440" s="2"/>
      <c r="P1440" s="2"/>
      <c r="Q1440" s="2"/>
      <c r="R1440" s="2"/>
      <c r="S1440" s="2"/>
      <c r="AK1440" s="2"/>
    </row>
    <row r="1441" spans="2:37">
      <c r="B1441" s="4"/>
      <c r="C1441" s="2"/>
      <c r="D1441" s="473"/>
      <c r="E1441" s="2"/>
      <c r="F1441" s="473"/>
      <c r="G1441" s="2"/>
      <c r="H1441" s="2"/>
      <c r="I1441" s="473"/>
      <c r="J1441" s="2"/>
      <c r="K1441" s="2"/>
      <c r="L1441" s="2"/>
      <c r="M1441" s="2"/>
      <c r="N1441" s="2"/>
      <c r="O1441" s="2"/>
      <c r="P1441" s="2"/>
      <c r="Q1441" s="2"/>
      <c r="R1441" s="2"/>
      <c r="S1441" s="2"/>
      <c r="AK1441" s="2"/>
    </row>
    <row r="1442" spans="2:37">
      <c r="B1442" s="4"/>
      <c r="C1442" s="2"/>
      <c r="D1442" s="473"/>
      <c r="E1442" s="2"/>
      <c r="F1442" s="473"/>
      <c r="G1442" s="2"/>
      <c r="H1442" s="2"/>
      <c r="I1442" s="473"/>
      <c r="J1442" s="2"/>
      <c r="K1442" s="2"/>
      <c r="L1442" s="2"/>
      <c r="M1442" s="2"/>
      <c r="N1442" s="2"/>
      <c r="O1442" s="2"/>
      <c r="P1442" s="2"/>
      <c r="Q1442" s="2"/>
      <c r="R1442" s="2"/>
      <c r="S1442" s="2"/>
      <c r="AK1442" s="2"/>
    </row>
    <row r="1443" spans="2:37">
      <c r="B1443" s="4"/>
      <c r="C1443" s="2"/>
      <c r="D1443" s="473"/>
      <c r="E1443" s="2"/>
      <c r="F1443" s="473"/>
      <c r="G1443" s="2"/>
      <c r="H1443" s="2"/>
      <c r="I1443" s="473"/>
      <c r="J1443" s="2"/>
      <c r="K1443" s="2"/>
      <c r="L1443" s="2"/>
      <c r="M1443" s="2"/>
      <c r="N1443" s="2"/>
      <c r="O1443" s="2"/>
      <c r="P1443" s="2"/>
      <c r="Q1443" s="2"/>
      <c r="R1443" s="2"/>
      <c r="S1443" s="2"/>
      <c r="AK1443" s="2"/>
    </row>
    <row r="1444" spans="2:37">
      <c r="B1444" s="4"/>
      <c r="C1444" s="2"/>
      <c r="D1444" s="473"/>
      <c r="E1444" s="2"/>
      <c r="F1444" s="473"/>
      <c r="G1444" s="2"/>
      <c r="H1444" s="2"/>
      <c r="I1444" s="473"/>
      <c r="J1444" s="2"/>
      <c r="K1444" s="2"/>
      <c r="L1444" s="2"/>
      <c r="M1444" s="2"/>
      <c r="N1444" s="2"/>
      <c r="O1444" s="2"/>
      <c r="P1444" s="82" t="str">
        <f>D4</f>
        <v>2023-2024</v>
      </c>
      <c r="Q1444" s="82" t="str">
        <f>F4</f>
        <v>2024-2025</v>
      </c>
      <c r="R1444" s="82" t="str">
        <f>I4</f>
        <v>2025-2026</v>
      </c>
      <c r="S1444" s="2"/>
      <c r="AK1444" s="2"/>
    </row>
    <row r="1445" spans="2:37">
      <c r="B1445" s="4"/>
      <c r="C1445" s="2"/>
      <c r="D1445" s="473"/>
      <c r="E1445" s="2"/>
      <c r="F1445" s="473"/>
      <c r="G1445" s="2"/>
      <c r="H1445" s="2"/>
      <c r="I1445" s="473"/>
      <c r="J1445" s="2"/>
      <c r="K1445" s="2"/>
      <c r="L1445" s="2"/>
      <c r="M1445" s="2"/>
      <c r="N1445" s="2"/>
      <c r="O1445" s="140" t="str">
        <f>$B1438</f>
        <v>Assessed Valuation</v>
      </c>
      <c r="P1445" s="480">
        <f>IF(AND($D1438&lt;=0,$G1438&lt;=0,$K1438&lt;=0),#N/A,IF($D1438&lt;=0,0,$D1438))</f>
        <v>18536236</v>
      </c>
      <c r="Q1445" s="480">
        <f>IF(AND($D1438&lt;=0,$G1438&lt;=0,$K1438&lt;=0),#N/A,IF($G1438&lt;=0,0,$G1438))</f>
        <v>17978257</v>
      </c>
      <c r="R1445" s="480">
        <f>IF(AND($D1438&lt;=0,$G1438&lt;=0,$K1438&lt;=0),#N/A,IF($K1438&lt;=0,0,$K1438))</f>
        <v>19995239</v>
      </c>
      <c r="S1445" s="2"/>
      <c r="AK1445" s="2"/>
    </row>
    <row r="1446" spans="2:37">
      <c r="B1446" s="4"/>
      <c r="C1446" s="2"/>
      <c r="D1446" s="473"/>
      <c r="E1446" s="2"/>
      <c r="F1446" s="473"/>
      <c r="G1446" s="2"/>
      <c r="H1446" s="2"/>
      <c r="I1446" s="473"/>
      <c r="J1446" s="2"/>
      <c r="K1446" s="2"/>
      <c r="L1446" s="2"/>
      <c r="M1446" s="2"/>
      <c r="N1446" s="2"/>
      <c r="O1446" s="2"/>
      <c r="P1446" s="2"/>
      <c r="Q1446" s="2"/>
      <c r="R1446" s="2"/>
      <c r="S1446" s="2"/>
      <c r="AK1446" s="2"/>
    </row>
    <row r="1447" spans="2:37">
      <c r="B1447" s="4"/>
      <c r="C1447" s="2"/>
      <c r="D1447" s="473"/>
      <c r="E1447" s="2"/>
      <c r="F1447" s="473"/>
      <c r="G1447" s="2"/>
      <c r="H1447" s="2"/>
      <c r="I1447" s="473"/>
      <c r="J1447" s="2"/>
      <c r="K1447" s="2"/>
      <c r="L1447" s="2"/>
      <c r="M1447" s="2"/>
      <c r="N1447" s="2"/>
      <c r="O1447" s="2"/>
      <c r="P1447" s="2"/>
      <c r="Q1447" s="2"/>
      <c r="R1447" s="2"/>
      <c r="S1447" s="2"/>
      <c r="AK1447" s="2"/>
    </row>
    <row r="1448" spans="2:37">
      <c r="B1448" s="2"/>
      <c r="C1448" s="2"/>
      <c r="D1448" s="2"/>
      <c r="E1448" s="2"/>
      <c r="F1448" s="2"/>
      <c r="G1448" s="2"/>
      <c r="H1448" s="2"/>
      <c r="I1448" s="2"/>
      <c r="J1448" s="2"/>
      <c r="K1448" s="2"/>
      <c r="L1448" s="2"/>
      <c r="M1448" s="2"/>
      <c r="N1448" s="2"/>
      <c r="O1448" s="2"/>
      <c r="P1448" s="2"/>
      <c r="Q1448" s="2"/>
      <c r="R1448" s="2"/>
      <c r="S1448" s="2"/>
      <c r="AK1448" s="2"/>
    </row>
    <row r="1449" spans="2:37">
      <c r="B1449" s="2"/>
      <c r="C1449" s="2"/>
      <c r="D1449" s="2"/>
      <c r="E1449" s="2"/>
      <c r="F1449" s="2"/>
      <c r="G1449" s="2"/>
      <c r="H1449" s="2"/>
      <c r="I1449" s="2"/>
      <c r="J1449" s="2"/>
      <c r="K1449" s="2"/>
      <c r="L1449" s="2"/>
      <c r="M1449" s="2"/>
      <c r="N1449" s="2"/>
      <c r="O1449" s="2"/>
      <c r="P1449" s="2"/>
      <c r="Q1449" s="2"/>
      <c r="R1449" s="2"/>
      <c r="S1449" s="2"/>
      <c r="AK1449" s="2"/>
    </row>
    <row r="1450" spans="2:37">
      <c r="B1450" s="2"/>
      <c r="C1450" s="2"/>
      <c r="D1450" s="2"/>
      <c r="E1450" s="2"/>
      <c r="F1450" s="2"/>
      <c r="G1450" s="2"/>
      <c r="H1450" s="2"/>
      <c r="I1450" s="2"/>
      <c r="J1450" s="2"/>
      <c r="K1450" s="2"/>
      <c r="L1450" s="2"/>
      <c r="M1450" s="2"/>
      <c r="N1450" s="2"/>
      <c r="O1450" s="2"/>
      <c r="P1450" s="2"/>
      <c r="Q1450" s="2"/>
      <c r="R1450" s="2"/>
      <c r="S1450" s="2"/>
      <c r="AK1450" s="2"/>
    </row>
    <row r="1451" spans="2:37">
      <c r="B1451" s="2"/>
      <c r="C1451" s="2"/>
      <c r="D1451" s="2"/>
      <c r="E1451" s="2"/>
      <c r="F1451" s="2"/>
      <c r="G1451" s="2"/>
      <c r="H1451" s="2"/>
      <c r="I1451" s="2"/>
      <c r="J1451" s="2"/>
      <c r="K1451" s="2"/>
      <c r="L1451" s="2"/>
      <c r="M1451" s="2"/>
      <c r="N1451" s="2"/>
      <c r="O1451" s="2"/>
      <c r="P1451" s="2"/>
      <c r="Q1451" s="2"/>
      <c r="R1451" s="2"/>
      <c r="S1451" s="2"/>
      <c r="AK1451" s="2"/>
    </row>
    <row r="1452" spans="2:37">
      <c r="B1452" s="2"/>
      <c r="C1452" s="2"/>
      <c r="D1452" s="2"/>
      <c r="E1452" s="2"/>
      <c r="F1452" s="2"/>
      <c r="G1452" s="2"/>
      <c r="H1452" s="2"/>
      <c r="I1452" s="2"/>
      <c r="J1452" s="2"/>
      <c r="K1452" s="2"/>
      <c r="L1452" s="2"/>
      <c r="M1452" s="2"/>
      <c r="N1452" s="2"/>
      <c r="O1452" s="2"/>
      <c r="P1452" s="2"/>
      <c r="Q1452" s="2"/>
      <c r="R1452" s="2"/>
      <c r="S1452" s="2"/>
      <c r="AK1452" s="2"/>
    </row>
    <row r="1453" spans="2:37">
      <c r="B1453" s="2"/>
      <c r="C1453" s="2"/>
      <c r="D1453" s="2"/>
      <c r="E1453" s="2"/>
      <c r="F1453" s="2"/>
      <c r="G1453" s="2"/>
      <c r="H1453" s="2"/>
      <c r="I1453" s="2"/>
      <c r="J1453" s="2"/>
      <c r="K1453" s="2"/>
      <c r="L1453" s="2"/>
      <c r="M1453" s="2"/>
      <c r="N1453" s="2"/>
      <c r="O1453" s="2"/>
      <c r="P1453" s="2"/>
      <c r="Q1453" s="2"/>
      <c r="R1453" s="2"/>
      <c r="S1453" s="2"/>
      <c r="AK1453" s="2"/>
    </row>
    <row r="1454" spans="2:37">
      <c r="B1454" s="2"/>
      <c r="C1454" s="2"/>
      <c r="D1454" s="2"/>
      <c r="E1454" s="2"/>
      <c r="F1454" s="2"/>
      <c r="G1454" s="2"/>
      <c r="H1454" s="2"/>
      <c r="I1454" s="2"/>
      <c r="J1454" s="2"/>
      <c r="K1454" s="2"/>
      <c r="L1454" s="2"/>
      <c r="M1454" s="2"/>
      <c r="N1454" s="2"/>
      <c r="O1454" s="2"/>
      <c r="P1454" s="2"/>
      <c r="Q1454" s="2"/>
      <c r="R1454" s="2"/>
      <c r="S1454" s="2"/>
      <c r="AK1454" s="2"/>
    </row>
    <row r="1455" spans="2:37">
      <c r="B1455" s="2"/>
      <c r="C1455" s="2"/>
      <c r="D1455" s="2"/>
      <c r="E1455" s="2"/>
      <c r="F1455" s="2"/>
      <c r="G1455" s="2"/>
      <c r="H1455" s="2"/>
      <c r="I1455" s="2"/>
      <c r="J1455" s="2"/>
      <c r="K1455" s="2"/>
      <c r="L1455" s="2"/>
      <c r="M1455" s="2"/>
      <c r="N1455" s="2"/>
      <c r="O1455" s="2"/>
      <c r="P1455" s="2"/>
      <c r="Q1455" s="2"/>
      <c r="R1455" s="2"/>
      <c r="S1455" s="2"/>
      <c r="AK1455" s="2"/>
    </row>
    <row r="1456" spans="2:37">
      <c r="B1456" s="2"/>
      <c r="C1456" s="2"/>
      <c r="D1456" s="2"/>
      <c r="E1456" s="2"/>
      <c r="F1456" s="2"/>
      <c r="G1456" s="2"/>
      <c r="H1456" s="2"/>
      <c r="I1456" s="2"/>
      <c r="J1456" s="2"/>
      <c r="K1456" s="2"/>
      <c r="L1456" s="2"/>
      <c r="M1456" s="2"/>
      <c r="N1456" s="2"/>
      <c r="O1456" s="2"/>
      <c r="P1456" s="2"/>
      <c r="Q1456" s="2"/>
      <c r="R1456" s="2"/>
      <c r="S1456" s="2"/>
      <c r="AK1456" s="2"/>
    </row>
    <row r="1457" spans="2:37">
      <c r="B1457" s="2"/>
      <c r="C1457" s="2"/>
      <c r="D1457" s="2"/>
      <c r="E1457" s="2"/>
      <c r="F1457" s="2"/>
      <c r="G1457" s="2"/>
      <c r="H1457" s="2"/>
      <c r="I1457" s="2"/>
      <c r="J1457" s="2"/>
      <c r="K1457" s="2"/>
      <c r="L1457" s="2"/>
      <c r="M1457" s="2"/>
      <c r="N1457" s="2"/>
      <c r="O1457" s="2"/>
      <c r="P1457" s="2"/>
      <c r="Q1457" s="2"/>
      <c r="R1457" s="2"/>
      <c r="S1457" s="2"/>
      <c r="AK1457" s="2"/>
    </row>
    <row r="1458" spans="2:37">
      <c r="B1458" s="2"/>
      <c r="C1458" s="2"/>
      <c r="D1458" s="2"/>
      <c r="E1458" s="2"/>
      <c r="F1458" s="2"/>
      <c r="G1458" s="2"/>
      <c r="H1458" s="2"/>
      <c r="I1458" s="2"/>
      <c r="J1458" s="2"/>
      <c r="K1458" s="2"/>
      <c r="L1458" s="2"/>
      <c r="M1458" s="2"/>
      <c r="N1458" s="2"/>
      <c r="O1458" s="2"/>
      <c r="P1458" s="2"/>
      <c r="Q1458" s="2"/>
      <c r="R1458" s="2"/>
      <c r="S1458" s="2"/>
      <c r="AK1458" s="2"/>
    </row>
    <row r="1459" spans="2:37">
      <c r="B1459" s="2"/>
      <c r="C1459" s="2"/>
      <c r="D1459" s="2"/>
      <c r="E1459" s="2"/>
      <c r="F1459" s="2"/>
      <c r="G1459" s="2"/>
      <c r="H1459" s="2"/>
      <c r="I1459" s="2"/>
      <c r="J1459" s="167"/>
      <c r="K1459" s="444"/>
      <c r="L1459" s="444"/>
      <c r="M1459" s="2"/>
      <c r="N1459" s="2"/>
      <c r="O1459" s="2"/>
      <c r="P1459" s="2"/>
      <c r="Q1459" s="2"/>
      <c r="R1459" s="2"/>
      <c r="S1459" s="2"/>
      <c r="AK1459" s="2"/>
    </row>
    <row r="1460" spans="2:37">
      <c r="B1460" s="2"/>
      <c r="C1460" s="2"/>
      <c r="D1460" s="2"/>
      <c r="E1460" s="167"/>
      <c r="F1460" s="481"/>
      <c r="G1460" s="2"/>
      <c r="H1460" s="2"/>
      <c r="I1460" s="2"/>
      <c r="J1460" s="167"/>
      <c r="K1460" s="482"/>
      <c r="L1460" s="444"/>
      <c r="M1460" s="2"/>
      <c r="N1460" s="2"/>
      <c r="O1460" s="2"/>
      <c r="P1460" s="2"/>
      <c r="Q1460" s="2"/>
      <c r="R1460" s="2"/>
      <c r="S1460" s="2"/>
      <c r="AK1460" s="2"/>
    </row>
    <row r="1461" spans="2:37">
      <c r="B1461" s="2"/>
      <c r="C1461" s="2"/>
      <c r="D1461" s="2"/>
      <c r="E1461" s="483"/>
      <c r="F1461" s="481"/>
      <c r="G1461" s="2"/>
      <c r="H1461" s="2"/>
      <c r="I1461" s="167"/>
      <c r="J1461" s="482"/>
      <c r="K1461" s="482"/>
      <c r="L1461" s="444"/>
      <c r="M1461" s="2"/>
      <c r="N1461" s="2"/>
      <c r="O1461" s="2"/>
      <c r="P1461" s="2"/>
      <c r="Q1461" s="2"/>
      <c r="R1461" s="2"/>
      <c r="S1461" s="2"/>
      <c r="AK1461" s="2"/>
    </row>
    <row r="1462" spans="2:37">
      <c r="B1462" s="167"/>
      <c r="C1462" s="2"/>
      <c r="D1462" s="2"/>
      <c r="E1462" s="2"/>
      <c r="F1462" s="481"/>
      <c r="G1462" s="444"/>
      <c r="H1462" s="449"/>
      <c r="I1462" s="167"/>
      <c r="J1462" s="167"/>
      <c r="K1462" s="482"/>
      <c r="L1462" s="444"/>
      <c r="M1462" s="2"/>
      <c r="N1462" s="2"/>
      <c r="O1462" s="2"/>
      <c r="P1462" s="2"/>
      <c r="Q1462" s="2"/>
      <c r="R1462" s="2"/>
      <c r="S1462" s="2"/>
      <c r="AK1462" s="2"/>
    </row>
    <row r="1463" spans="2:37">
      <c r="B1463" s="2"/>
      <c r="C1463" s="2"/>
      <c r="D1463" s="2"/>
      <c r="E1463" s="2"/>
      <c r="F1463" s="449"/>
      <c r="G1463" s="444"/>
      <c r="H1463" s="449"/>
      <c r="I1463" s="167"/>
      <c r="J1463" s="167"/>
      <c r="K1463" s="444"/>
      <c r="L1463" s="444"/>
      <c r="M1463" s="2"/>
      <c r="N1463" s="2"/>
      <c r="O1463" s="2"/>
      <c r="P1463" s="2"/>
      <c r="Q1463" s="2"/>
      <c r="R1463" s="2"/>
      <c r="S1463" s="2"/>
      <c r="AK1463" s="2"/>
    </row>
    <row r="1464" spans="2:37">
      <c r="B1464" s="2"/>
      <c r="C1464" s="167"/>
      <c r="D1464" s="167"/>
      <c r="E1464" s="2"/>
      <c r="F1464" s="481"/>
      <c r="G1464" s="444"/>
      <c r="H1464" s="447"/>
      <c r="I1464" s="167"/>
      <c r="J1464" s="167"/>
      <c r="K1464" s="444"/>
      <c r="L1464" s="444"/>
      <c r="M1464" s="2"/>
      <c r="N1464" s="2"/>
      <c r="O1464" s="2"/>
      <c r="P1464" s="2"/>
      <c r="Q1464" s="2"/>
      <c r="R1464" s="2"/>
      <c r="S1464" s="2"/>
      <c r="AK1464" s="2"/>
    </row>
    <row r="1465" spans="2:37">
      <c r="B1465" s="2"/>
      <c r="C1465" s="167"/>
      <c r="D1465" s="167"/>
      <c r="E1465" s="2"/>
      <c r="F1465" s="2"/>
      <c r="G1465" s="2"/>
      <c r="H1465" s="2"/>
      <c r="I1465" s="484"/>
      <c r="J1465" s="485"/>
      <c r="K1465" s="485"/>
      <c r="L1465" s="485"/>
      <c r="M1465" s="2"/>
      <c r="N1465" s="2"/>
      <c r="O1465" s="2"/>
      <c r="P1465" s="2"/>
      <c r="Q1465" s="2"/>
      <c r="R1465" s="2"/>
      <c r="S1465" s="2"/>
      <c r="AK1465" s="2"/>
    </row>
    <row r="1466" spans="2:37">
      <c r="B1466" s="2"/>
      <c r="C1466" s="476"/>
      <c r="D1466" s="486"/>
      <c r="E1466" s="2"/>
      <c r="F1466" s="487"/>
      <c r="G1466" s="2"/>
      <c r="H1466" s="486"/>
      <c r="I1466" s="485"/>
      <c r="J1466" s="487"/>
      <c r="K1466" s="485"/>
      <c r="L1466" s="486"/>
      <c r="M1466" s="2"/>
      <c r="N1466" s="2"/>
      <c r="O1466" s="2"/>
      <c r="P1466" s="2"/>
      <c r="Q1466" s="2"/>
      <c r="R1466" s="2"/>
      <c r="S1466" s="2"/>
      <c r="AK1466" s="2"/>
    </row>
    <row r="1467" spans="2:37">
      <c r="B1467" s="2"/>
      <c r="C1467" s="476"/>
      <c r="D1467" s="486"/>
      <c r="E1467" s="2"/>
      <c r="F1467" s="487"/>
      <c r="G1467" s="2"/>
      <c r="H1467" s="486"/>
      <c r="I1467" s="485"/>
      <c r="J1467" s="487"/>
      <c r="K1467" s="485"/>
      <c r="L1467" s="486"/>
      <c r="M1467" s="2"/>
      <c r="N1467" s="2"/>
      <c r="O1467" s="2"/>
      <c r="P1467" s="2"/>
      <c r="Q1467" s="2"/>
      <c r="R1467" s="2"/>
      <c r="S1467" s="2"/>
      <c r="AK1467" s="2"/>
    </row>
    <row r="1468" spans="2:37">
      <c r="B1468" s="2"/>
      <c r="C1468" s="476"/>
      <c r="D1468" s="486"/>
      <c r="E1468" s="2"/>
      <c r="F1468" s="487"/>
      <c r="G1468" s="2"/>
      <c r="H1468" s="486"/>
      <c r="I1468" s="485"/>
      <c r="J1468" s="487"/>
      <c r="K1468" s="485"/>
      <c r="L1468" s="486"/>
      <c r="M1468" s="2"/>
      <c r="N1468" s="2"/>
      <c r="O1468" s="2"/>
      <c r="P1468" s="2"/>
      <c r="Q1468" s="2"/>
      <c r="R1468" s="2"/>
      <c r="S1468" s="2"/>
      <c r="AK1468" s="2"/>
    </row>
    <row r="1469" spans="2:37">
      <c r="B1469" s="2"/>
      <c r="C1469" s="476"/>
      <c r="D1469" s="486"/>
      <c r="E1469" s="2"/>
      <c r="F1469" s="487"/>
      <c r="G1469" s="2"/>
      <c r="H1469" s="486"/>
      <c r="I1469" s="485"/>
      <c r="J1469" s="487"/>
      <c r="K1469" s="485"/>
      <c r="L1469" s="486"/>
      <c r="M1469" s="2"/>
      <c r="N1469" s="2"/>
      <c r="O1469" s="2"/>
      <c r="P1469" s="2"/>
      <c r="Q1469" s="2"/>
      <c r="R1469" s="2"/>
      <c r="S1469" s="2"/>
      <c r="AK1469" s="2"/>
    </row>
    <row r="1470" spans="2:37">
      <c r="B1470" s="2"/>
      <c r="C1470" s="476"/>
      <c r="D1470" s="486"/>
      <c r="E1470" s="2"/>
      <c r="F1470" s="487"/>
      <c r="G1470" s="2"/>
      <c r="H1470" s="486"/>
      <c r="I1470" s="485"/>
      <c r="J1470" s="487"/>
      <c r="K1470" s="485"/>
      <c r="L1470" s="486"/>
      <c r="M1470" s="2"/>
      <c r="N1470" s="2"/>
      <c r="O1470" s="2"/>
      <c r="P1470" s="2"/>
      <c r="Q1470" s="2"/>
      <c r="R1470" s="2"/>
      <c r="S1470" s="2"/>
      <c r="AK1470" s="2"/>
    </row>
    <row r="1471" spans="2:37">
      <c r="B1471" s="2"/>
      <c r="C1471" s="476"/>
      <c r="D1471" s="486"/>
      <c r="E1471" s="2"/>
      <c r="F1471" s="487"/>
      <c r="G1471" s="2"/>
      <c r="H1471" s="486"/>
      <c r="I1471" s="485"/>
      <c r="J1471" s="487"/>
      <c r="K1471" s="485"/>
      <c r="L1471" s="486"/>
      <c r="M1471" s="2"/>
      <c r="N1471" s="2"/>
      <c r="O1471" s="2"/>
      <c r="P1471" s="2"/>
      <c r="Q1471" s="2"/>
      <c r="R1471" s="2"/>
      <c r="S1471" s="2"/>
      <c r="AK1471" s="2"/>
    </row>
    <row r="1472" spans="2:37">
      <c r="B1472" s="2"/>
      <c r="C1472" s="476"/>
      <c r="D1472" s="486"/>
      <c r="E1472" s="2"/>
      <c r="F1472" s="487"/>
      <c r="G1472" s="2"/>
      <c r="H1472" s="486"/>
      <c r="I1472" s="485"/>
      <c r="J1472" s="487"/>
      <c r="K1472" s="485"/>
      <c r="L1472" s="486"/>
      <c r="M1472" s="2"/>
      <c r="N1472" s="2"/>
      <c r="O1472" s="2"/>
      <c r="P1472" s="82" t="str">
        <f>D4</f>
        <v>2023-2024</v>
      </c>
      <c r="Q1472" s="82" t="str">
        <f>F4</f>
        <v>2024-2025</v>
      </c>
      <c r="R1472" s="82" t="str">
        <f>I4</f>
        <v>2025-2026</v>
      </c>
      <c r="S1472" s="2"/>
      <c r="AK1472" s="2"/>
    </row>
    <row r="1473" spans="2:37">
      <c r="B1473" s="2"/>
      <c r="C1473" s="476"/>
      <c r="D1473" s="486"/>
      <c r="E1473" s="2"/>
      <c r="F1473" s="487"/>
      <c r="G1473" s="2"/>
      <c r="H1473" s="486"/>
      <c r="I1473" s="485"/>
      <c r="J1473" s="487"/>
      <c r="K1473" s="485"/>
      <c r="L1473" s="486"/>
      <c r="M1473" s="2"/>
      <c r="N1473" s="2"/>
      <c r="O1473" s="140" t="str">
        <f>$B1439</f>
        <v>Total USD Debt</v>
      </c>
      <c r="P1473" s="480">
        <f>IF(AND($D1439&lt;=0,$G1439&lt;=0,$K1439&lt;=0),#N/A,IF($D1439&lt;=0,0,$D1439))</f>
        <v>1020000</v>
      </c>
      <c r="Q1473" s="480">
        <f>IF(AND($D1439&lt;=0,$G1439&lt;=0,$K1439&lt;=0),#N/A,IF($G1439&lt;=0,0,$G1439))</f>
        <v>895000</v>
      </c>
      <c r="R1473" s="480">
        <f>IF(AND($D1439&lt;=0,$G1439&lt;=0,$K1439&lt;=0),#N/A,IF($K1439&lt;=0,0,$K1439))</f>
        <v>765000</v>
      </c>
      <c r="S1473" s="2"/>
      <c r="AK1473" s="2"/>
    </row>
    <row r="1474" spans="2:37">
      <c r="B1474" s="2"/>
      <c r="C1474" s="476"/>
      <c r="D1474" s="486"/>
      <c r="E1474" s="2"/>
      <c r="F1474" s="487"/>
      <c r="G1474" s="2"/>
      <c r="H1474" s="486"/>
      <c r="I1474" s="485"/>
      <c r="J1474" s="487"/>
      <c r="K1474" s="485"/>
      <c r="L1474" s="486"/>
      <c r="M1474" s="2"/>
      <c r="N1474" s="2"/>
      <c r="O1474" s="2"/>
      <c r="P1474" s="2"/>
      <c r="Q1474" s="2"/>
      <c r="R1474" s="2"/>
      <c r="S1474" s="2"/>
      <c r="AK1474" s="2"/>
    </row>
    <row r="1475" spans="2:37">
      <c r="B1475" s="2"/>
      <c r="C1475" s="476"/>
      <c r="D1475" s="486"/>
      <c r="E1475" s="2"/>
      <c r="F1475" s="487"/>
      <c r="G1475" s="2"/>
      <c r="H1475" s="486"/>
      <c r="I1475" s="485"/>
      <c r="J1475" s="487"/>
      <c r="K1475" s="485"/>
      <c r="L1475" s="486"/>
      <c r="M1475" s="2"/>
      <c r="N1475" s="2"/>
      <c r="O1475" s="2"/>
      <c r="P1475" s="2"/>
      <c r="Q1475" s="2"/>
      <c r="R1475" s="2"/>
      <c r="S1475" s="2"/>
      <c r="AK1475" s="2"/>
    </row>
    <row r="1476" spans="2:37">
      <c r="B1476" s="2"/>
      <c r="C1476" s="476"/>
      <c r="D1476" s="486"/>
      <c r="E1476" s="2"/>
      <c r="F1476" s="487"/>
      <c r="G1476" s="2"/>
      <c r="H1476" s="486"/>
      <c r="I1476" s="485"/>
      <c r="J1476" s="487"/>
      <c r="K1476" s="485"/>
      <c r="L1476" s="486"/>
      <c r="M1476" s="2"/>
      <c r="N1476" s="2"/>
      <c r="O1476" s="2"/>
      <c r="P1476" s="2"/>
      <c r="Q1476" s="2"/>
      <c r="R1476" s="2"/>
      <c r="S1476" s="2"/>
      <c r="AK1476" s="2"/>
    </row>
    <row r="1477" spans="2:37">
      <c r="B1477" s="2"/>
      <c r="C1477" s="476"/>
      <c r="D1477" s="486"/>
      <c r="E1477" s="2"/>
      <c r="F1477" s="487"/>
      <c r="G1477" s="2"/>
      <c r="H1477" s="486"/>
      <c r="I1477" s="485"/>
      <c r="J1477" s="487"/>
      <c r="K1477" s="485"/>
      <c r="L1477" s="486"/>
      <c r="M1477" s="2"/>
      <c r="N1477" s="2"/>
      <c r="O1477" s="2"/>
      <c r="P1477" s="2"/>
      <c r="Q1477" s="2"/>
      <c r="R1477" s="2"/>
      <c r="S1477" s="2"/>
      <c r="AK1477" s="2"/>
    </row>
    <row r="1478" spans="2:37">
      <c r="B1478" s="2"/>
      <c r="C1478" s="476"/>
      <c r="D1478" s="486"/>
      <c r="E1478" s="2"/>
      <c r="F1478" s="487"/>
      <c r="G1478" s="2"/>
      <c r="H1478" s="486"/>
      <c r="I1478" s="485"/>
      <c r="J1478" s="487"/>
      <c r="K1478" s="485"/>
      <c r="L1478" s="486"/>
      <c r="M1478" s="2"/>
      <c r="N1478" s="2"/>
      <c r="O1478" s="2"/>
      <c r="P1478" s="2"/>
      <c r="Q1478" s="2"/>
      <c r="R1478" s="2"/>
      <c r="S1478" s="2"/>
      <c r="AK1478" s="2"/>
    </row>
    <row r="1479" spans="2:37">
      <c r="B1479" s="2"/>
      <c r="C1479" s="476"/>
      <c r="D1479" s="486"/>
      <c r="E1479" s="2"/>
      <c r="F1479" s="487"/>
      <c r="G1479" s="2"/>
      <c r="H1479" s="486"/>
      <c r="I1479" s="485"/>
      <c r="J1479" s="487"/>
      <c r="K1479" s="485"/>
      <c r="L1479" s="486"/>
      <c r="M1479" s="2"/>
      <c r="N1479" s="2"/>
      <c r="O1479" s="2"/>
      <c r="P1479" s="2"/>
      <c r="Q1479" s="2"/>
      <c r="R1479" s="2"/>
      <c r="S1479" s="2"/>
      <c r="AK1479" s="2"/>
    </row>
    <row r="1480" spans="2:37">
      <c r="B1480" s="2"/>
      <c r="C1480" s="476"/>
      <c r="D1480" s="486"/>
      <c r="E1480" s="2"/>
      <c r="F1480" s="487"/>
      <c r="G1480" s="2"/>
      <c r="H1480" s="486"/>
      <c r="I1480" s="485"/>
      <c r="J1480" s="487"/>
      <c r="K1480" s="485"/>
      <c r="L1480" s="486"/>
      <c r="M1480" s="2"/>
      <c r="N1480" s="2"/>
      <c r="O1480" s="2"/>
      <c r="P1480" s="2"/>
      <c r="Q1480" s="2"/>
      <c r="R1480" s="2"/>
      <c r="S1480" s="2"/>
      <c r="AK1480" s="2"/>
    </row>
    <row r="1481" spans="2:37">
      <c r="B1481" s="2"/>
      <c r="C1481" s="476"/>
      <c r="D1481" s="486"/>
      <c r="E1481" s="2"/>
      <c r="F1481" s="487"/>
      <c r="G1481" s="2"/>
      <c r="H1481" s="486"/>
      <c r="I1481" s="485"/>
      <c r="J1481" s="487"/>
      <c r="K1481" s="485"/>
      <c r="L1481" s="486"/>
      <c r="M1481" s="2"/>
      <c r="N1481" s="2"/>
      <c r="O1481" s="2"/>
      <c r="P1481" s="2"/>
      <c r="Q1481" s="2"/>
      <c r="R1481" s="2"/>
      <c r="S1481" s="2"/>
      <c r="AK1481" s="2"/>
    </row>
    <row r="1482" spans="2:37">
      <c r="B1482" s="2"/>
      <c r="C1482" s="476"/>
      <c r="D1482" s="486"/>
      <c r="E1482" s="2"/>
      <c r="F1482" s="487"/>
      <c r="G1482" s="2"/>
      <c r="H1482" s="486"/>
      <c r="I1482" s="485"/>
      <c r="J1482" s="487"/>
      <c r="K1482" s="485"/>
      <c r="L1482" s="486"/>
      <c r="M1482" s="2"/>
      <c r="N1482" s="2"/>
      <c r="O1482" s="2"/>
      <c r="P1482" s="2"/>
      <c r="Q1482" s="2"/>
      <c r="R1482" s="2"/>
      <c r="S1482" s="2"/>
      <c r="AK1482" s="2"/>
    </row>
    <row r="1483" spans="2:37">
      <c r="B1483" s="2"/>
      <c r="C1483" s="476"/>
      <c r="D1483" s="486"/>
      <c r="E1483" s="2"/>
      <c r="F1483" s="487"/>
      <c r="G1483" s="2"/>
      <c r="H1483" s="486"/>
      <c r="I1483" s="485"/>
      <c r="J1483" s="487"/>
      <c r="K1483" s="485"/>
      <c r="L1483" s="486"/>
      <c r="M1483" s="2"/>
      <c r="N1483" s="2"/>
      <c r="O1483" s="2"/>
      <c r="P1483" s="2"/>
      <c r="Q1483" s="2"/>
      <c r="R1483" s="2"/>
      <c r="S1483" s="2"/>
      <c r="AK1483" s="2"/>
    </row>
    <row r="1484" spans="2:37">
      <c r="B1484" s="2"/>
      <c r="C1484" s="476"/>
      <c r="D1484" s="486"/>
      <c r="E1484" s="2"/>
      <c r="F1484" s="487"/>
      <c r="G1484" s="2"/>
      <c r="H1484" s="486"/>
      <c r="I1484" s="485"/>
      <c r="J1484" s="487"/>
      <c r="K1484" s="485"/>
      <c r="L1484" s="486"/>
      <c r="M1484" s="2"/>
      <c r="N1484" s="2"/>
      <c r="O1484" s="2"/>
      <c r="P1484" s="2"/>
      <c r="Q1484" s="2"/>
      <c r="R1484" s="2"/>
      <c r="S1484" s="2"/>
      <c r="AK1484" s="2"/>
    </row>
    <row r="1485" spans="2:37">
      <c r="B1485" s="2"/>
      <c r="C1485" s="476"/>
      <c r="D1485" s="486"/>
      <c r="E1485" s="2"/>
      <c r="F1485" s="487"/>
      <c r="G1485" s="2"/>
      <c r="H1485" s="486"/>
      <c r="I1485" s="485"/>
      <c r="J1485" s="487"/>
      <c r="K1485" s="485"/>
      <c r="L1485" s="486"/>
      <c r="M1485" s="2"/>
      <c r="N1485" s="2"/>
      <c r="O1485" s="2"/>
      <c r="P1485" s="2"/>
      <c r="Q1485" s="2"/>
      <c r="R1485" s="2"/>
      <c r="S1485" s="2"/>
      <c r="AK1485" s="2"/>
    </row>
    <row r="1486" spans="2:37">
      <c r="B1486" s="2"/>
      <c r="C1486" s="476"/>
      <c r="D1486" s="486"/>
      <c r="E1486" s="2"/>
      <c r="F1486" s="487"/>
      <c r="G1486" s="2"/>
      <c r="H1486" s="486"/>
      <c r="I1486" s="485"/>
      <c r="J1486" s="487"/>
      <c r="K1486" s="485"/>
      <c r="L1486" s="486"/>
      <c r="M1486" s="2"/>
      <c r="N1486" s="2"/>
      <c r="O1486" s="2"/>
      <c r="P1486" s="2"/>
      <c r="Q1486" s="2"/>
      <c r="R1486" s="2"/>
      <c r="S1486" s="2"/>
      <c r="AK1486" s="2"/>
    </row>
    <row r="1487" spans="2:37">
      <c r="B1487" s="2"/>
      <c r="C1487" s="476"/>
      <c r="D1487" s="486"/>
      <c r="E1487" s="2"/>
      <c r="F1487" s="487"/>
      <c r="G1487" s="2"/>
      <c r="H1487" s="486"/>
      <c r="I1487" s="485"/>
      <c r="J1487" s="487"/>
      <c r="K1487" s="485"/>
      <c r="L1487" s="486"/>
      <c r="M1487" s="2"/>
      <c r="N1487" s="2"/>
      <c r="O1487" s="2"/>
      <c r="P1487" s="2"/>
      <c r="Q1487" s="2"/>
      <c r="R1487" s="2"/>
      <c r="S1487" s="2"/>
      <c r="AK1487" s="2"/>
    </row>
    <row r="1488" spans="2:37">
      <c r="B1488" s="2"/>
      <c r="C1488" s="476"/>
      <c r="D1488" s="486"/>
      <c r="E1488" s="2"/>
      <c r="F1488" s="487"/>
      <c r="G1488" s="2"/>
      <c r="H1488" s="486"/>
      <c r="I1488" s="485"/>
      <c r="J1488" s="487"/>
      <c r="K1488" s="485"/>
      <c r="L1488" s="486"/>
      <c r="M1488" s="2"/>
      <c r="N1488" s="2"/>
      <c r="O1488" s="2"/>
      <c r="P1488" s="2"/>
      <c r="Q1488" s="2"/>
      <c r="R1488" s="2"/>
      <c r="S1488" s="2"/>
      <c r="AK1488" s="2"/>
    </row>
    <row r="1489" spans="2:37">
      <c r="B1489" s="2"/>
      <c r="C1489" s="476"/>
      <c r="D1489" s="486"/>
      <c r="E1489" s="2"/>
      <c r="F1489" s="487"/>
      <c r="G1489" s="2"/>
      <c r="H1489" s="486"/>
      <c r="I1489" s="485"/>
      <c r="J1489" s="487"/>
      <c r="K1489" s="485"/>
      <c r="L1489" s="486"/>
      <c r="M1489" s="2"/>
      <c r="N1489" s="2"/>
      <c r="O1489" s="2"/>
      <c r="P1489" s="2"/>
      <c r="Q1489" s="2"/>
      <c r="R1489" s="2"/>
      <c r="S1489" s="2"/>
      <c r="AK1489" s="2"/>
    </row>
    <row r="1490" spans="2:37">
      <c r="B1490" s="2"/>
      <c r="C1490" s="476"/>
      <c r="D1490" s="486"/>
      <c r="E1490" s="2"/>
      <c r="F1490" s="487"/>
      <c r="G1490" s="2"/>
      <c r="H1490" s="486"/>
      <c r="I1490" s="485"/>
      <c r="J1490" s="487"/>
      <c r="K1490" s="485"/>
      <c r="L1490" s="486"/>
      <c r="M1490" s="2"/>
      <c r="N1490" s="2"/>
      <c r="O1490" s="2"/>
      <c r="P1490" s="2"/>
      <c r="Q1490" s="2"/>
      <c r="R1490" s="2"/>
      <c r="S1490" s="2"/>
      <c r="AK1490" s="2"/>
    </row>
    <row r="1491" spans="2:37">
      <c r="B1491" s="2"/>
      <c r="C1491" s="476"/>
      <c r="D1491" s="486"/>
      <c r="E1491" s="2"/>
      <c r="F1491" s="487"/>
      <c r="G1491" s="2"/>
      <c r="H1491" s="486"/>
      <c r="I1491" s="485"/>
      <c r="J1491" s="487"/>
      <c r="K1491" s="485"/>
      <c r="L1491" s="486"/>
      <c r="M1491" s="2"/>
      <c r="N1491" s="2"/>
      <c r="O1491" s="2"/>
      <c r="P1491" s="2"/>
      <c r="Q1491" s="2"/>
      <c r="R1491" s="2"/>
      <c r="S1491" s="2"/>
      <c r="AK1491" s="2"/>
    </row>
    <row r="1492" spans="2:37">
      <c r="B1492" s="2"/>
      <c r="C1492" s="476"/>
      <c r="D1492" s="486"/>
      <c r="E1492" s="2"/>
      <c r="F1492" s="487"/>
      <c r="G1492" s="2"/>
      <c r="H1492" s="486"/>
      <c r="I1492" s="485"/>
      <c r="J1492" s="487"/>
      <c r="K1492" s="485"/>
      <c r="L1492" s="486"/>
      <c r="M1492" s="2"/>
      <c r="N1492" s="2"/>
      <c r="O1492" s="2"/>
      <c r="P1492" s="2"/>
      <c r="Q1492" s="2"/>
      <c r="R1492" s="2"/>
      <c r="S1492" s="2"/>
      <c r="AK1492" s="2"/>
    </row>
  </sheetData>
  <sheetProtection algorithmName="SHA-512" hashValue="58oPQtxGO41HOHaOTnB/dI+nGSpEkpfqQ1DkSwvlL8gEIrWkHcDHsR3A6/Gzk2snT/8kPARjk26ELOzHVDcA8w==" saltValue="cF1PYBKoYQQpxCXtdqgPvw==" spinCount="100000" sheet="1" objects="1" scenarios="1"/>
  <customSheetViews>
    <customSheetView guid="{C7C7AC58-22C5-451E-8108-D7214AD66698}" showPageBreaks="1" showFormulas="1" showGridLines="0" fitToPage="1" printArea="1" hiddenRows="1" hiddenColumns="1" topLeftCell="B1">
      <pane ySplit="1" topLeftCell="A2" activePane="bottomLeft" state="frozen"/>
      <selection pane="bottomLeft" activeCell="B5" sqref="B5:B6"/>
      <rowBreaks count="15" manualBreakCount="15">
        <brk id="60" min="1" max="11" man="1"/>
        <brk id="316" min="1" max="11" man="1"/>
        <brk id="701" min="1" max="11" man="1"/>
        <brk id="765" min="1" max="11" man="1"/>
        <brk id="829" min="1" max="11" man="1"/>
        <brk id="893" min="1" max="11" man="1"/>
        <brk id="957" min="1" max="11" man="1"/>
        <brk id="1022" min="1" max="11" man="1"/>
        <brk id="1086" min="1" max="11" man="1"/>
        <brk id="1150" min="1" max="11" man="1"/>
        <brk id="1214" min="1" max="11" man="1"/>
        <brk id="1279" min="1" max="11" man="1"/>
        <brk id="1306" min="1" max="11" man="1"/>
        <brk id="1370" min="1" max="11" man="1"/>
        <brk id="1433" min="1" max="11" man="1"/>
      </rowBreaks>
      <pageMargins left="0.25" right="0.25" top="0.25" bottom="0.25" header="0.3" footer="0.3"/>
      <printOptions horizontalCentered="1"/>
      <pageSetup scale="15" fitToHeight="0" orientation="portrait" r:id="rId1"/>
      <headerFooter>
        <oddFooter xml:space="preserve">&amp;L&amp;"Open Sans Light,Regular"&amp;9
&amp;D     &amp;T &amp;"-,Regular"
&amp;C&amp;"Open Sans Light,Regular"&amp;9Note: Numbers on charts are within 1% due to rounding.
Sumexpen.xlsx&amp;"-,Regular"
&amp;R&amp;9
&amp;"Open Sans Light,Regular"Page &amp;P of &amp;N&amp;"-,Regular"
</oddFooter>
      </headerFooter>
    </customSheetView>
  </customSheetViews>
  <mergeCells count="1386">
    <mergeCell ref="O1376:P1376"/>
    <mergeCell ref="J1119:K1119"/>
    <mergeCell ref="J1118:K1118"/>
    <mergeCell ref="J1117:K1117"/>
    <mergeCell ref="J1116:K1116"/>
    <mergeCell ref="J1115:K1115"/>
    <mergeCell ref="J1114:K1114"/>
    <mergeCell ref="J1113:K1113"/>
    <mergeCell ref="J1112:K1112"/>
    <mergeCell ref="J1109:K1109"/>
    <mergeCell ref="J1105:K1105"/>
    <mergeCell ref="K1257:L1257"/>
    <mergeCell ref="K1256:L1256"/>
    <mergeCell ref="K1255:L1255"/>
    <mergeCell ref="K1390:L1390"/>
    <mergeCell ref="K1389:L1389"/>
    <mergeCell ref="K1388:L1388"/>
    <mergeCell ref="J1184:K1184"/>
    <mergeCell ref="J1183:K1183"/>
    <mergeCell ref="J1182:K1182"/>
    <mergeCell ref="J1181:K1181"/>
    <mergeCell ref="J1180:K1180"/>
    <mergeCell ref="J1179:K1179"/>
    <mergeCell ref="K1240:L1240"/>
    <mergeCell ref="K1239:L1239"/>
    <mergeCell ref="K1238:L1238"/>
    <mergeCell ref="J1178:K1178"/>
    <mergeCell ref="J1177:K1177"/>
    <mergeCell ref="J1176:K1176"/>
    <mergeCell ref="B1289:L1289"/>
    <mergeCell ref="B1316:L1316"/>
    <mergeCell ref="F1157:G1157"/>
    <mergeCell ref="F1129:G1129"/>
    <mergeCell ref="F1128:G1128"/>
    <mergeCell ref="F1127:G1127"/>
    <mergeCell ref="F1126:G1126"/>
    <mergeCell ref="F1125:G1125"/>
    <mergeCell ref="F1124:G1124"/>
    <mergeCell ref="F1123:G1123"/>
    <mergeCell ref="F1122:G1122"/>
    <mergeCell ref="F1121:G1121"/>
    <mergeCell ref="F1120:G1120"/>
    <mergeCell ref="F1119:G1119"/>
    <mergeCell ref="J1129:K1129"/>
    <mergeCell ref="J1128:K1128"/>
    <mergeCell ref="J1127:K1127"/>
    <mergeCell ref="J1126:K1126"/>
    <mergeCell ref="J1125:K1125"/>
    <mergeCell ref="J1124:K1124"/>
    <mergeCell ref="J1123:K1123"/>
    <mergeCell ref="J1122:K1122"/>
    <mergeCell ref="J1121:K1121"/>
    <mergeCell ref="G1396:H1396"/>
    <mergeCell ref="G1395:H1395"/>
    <mergeCell ref="G1394:H1394"/>
    <mergeCell ref="G1393:H1393"/>
    <mergeCell ref="G1392:H1392"/>
    <mergeCell ref="G1391:H1391"/>
    <mergeCell ref="G1390:H1390"/>
    <mergeCell ref="G1389:H1389"/>
    <mergeCell ref="G1388:H1388"/>
    <mergeCell ref="G1387:H1387"/>
    <mergeCell ref="G1386:H1386"/>
    <mergeCell ref="G1385:H1385"/>
    <mergeCell ref="G1384:H1384"/>
    <mergeCell ref="G1383:H1383"/>
    <mergeCell ref="G1382:H1382"/>
    <mergeCell ref="G1381:H1381"/>
    <mergeCell ref="K1387:L1387"/>
    <mergeCell ref="K1386:L1386"/>
    <mergeCell ref="K1385:L1385"/>
    <mergeCell ref="G1240:H1240"/>
    <mergeCell ref="G1239:H1239"/>
    <mergeCell ref="G1238:H1238"/>
    <mergeCell ref="G1245:H1245"/>
    <mergeCell ref="G1244:H1244"/>
    <mergeCell ref="G1243:H1243"/>
    <mergeCell ref="G1242:H1242"/>
    <mergeCell ref="G1241:H1241"/>
    <mergeCell ref="K1254:L1254"/>
    <mergeCell ref="K1253:L1253"/>
    <mergeCell ref="K1252:L1252"/>
    <mergeCell ref="K1251:L1251"/>
    <mergeCell ref="K1250:L1250"/>
    <mergeCell ref="K1249:L1249"/>
    <mergeCell ref="K1248:L1248"/>
    <mergeCell ref="K1247:L1247"/>
    <mergeCell ref="K1246:L1246"/>
    <mergeCell ref="K1245:L1245"/>
    <mergeCell ref="K1244:L1244"/>
    <mergeCell ref="K1243:L1243"/>
    <mergeCell ref="K1242:L1242"/>
    <mergeCell ref="K1241:L1241"/>
    <mergeCell ref="F680:G680"/>
    <mergeCell ref="F679:G679"/>
    <mergeCell ref="F678:G678"/>
    <mergeCell ref="F677:G677"/>
    <mergeCell ref="F676:G676"/>
    <mergeCell ref="F675:G675"/>
    <mergeCell ref="J640:K640"/>
    <mergeCell ref="J672:K672"/>
    <mergeCell ref="J680:K680"/>
    <mergeCell ref="J679:K679"/>
    <mergeCell ref="J678:K678"/>
    <mergeCell ref="J677:K677"/>
    <mergeCell ref="J676:K676"/>
    <mergeCell ref="J675:K675"/>
    <mergeCell ref="F744:G744"/>
    <mergeCell ref="F743:G743"/>
    <mergeCell ref="F742:G742"/>
    <mergeCell ref="F741:G741"/>
    <mergeCell ref="F734:G734"/>
    <mergeCell ref="J744:K744"/>
    <mergeCell ref="J743:K743"/>
    <mergeCell ref="J742:K742"/>
    <mergeCell ref="J741:K741"/>
    <mergeCell ref="J734:K734"/>
    <mergeCell ref="F646:G646"/>
    <mergeCell ref="J646:K646"/>
    <mergeCell ref="F647:G647"/>
    <mergeCell ref="J647:K647"/>
    <mergeCell ref="F654:G654"/>
    <mergeCell ref="J654:K654"/>
    <mergeCell ref="F655:G655"/>
    <mergeCell ref="J655:K655"/>
    <mergeCell ref="F322:G322"/>
    <mergeCell ref="F321:G321"/>
    <mergeCell ref="F320:G320"/>
    <mergeCell ref="F515:G515"/>
    <mergeCell ref="F512:G512"/>
    <mergeCell ref="F511:G511"/>
    <mergeCell ref="J547:K547"/>
    <mergeCell ref="J550:K550"/>
    <mergeCell ref="J552:K552"/>
    <mergeCell ref="J511:K511"/>
    <mergeCell ref="J512:K512"/>
    <mergeCell ref="J515:K515"/>
    <mergeCell ref="F464:G464"/>
    <mergeCell ref="J464:K464"/>
    <mergeCell ref="F465:G465"/>
    <mergeCell ref="J465:K465"/>
    <mergeCell ref="F466:G466"/>
    <mergeCell ref="J466:K466"/>
    <mergeCell ref="F461:G461"/>
    <mergeCell ref="J461:K461"/>
    <mergeCell ref="F462:G462"/>
    <mergeCell ref="J462:K462"/>
    <mergeCell ref="F463:G463"/>
    <mergeCell ref="J463:K463"/>
    <mergeCell ref="F481:G481"/>
    <mergeCell ref="J481:K481"/>
    <mergeCell ref="F482:G482"/>
    <mergeCell ref="J482:K482"/>
    <mergeCell ref="F483:G483"/>
    <mergeCell ref="J483:K483"/>
    <mergeCell ref="F479:G479"/>
    <mergeCell ref="J479:K479"/>
    <mergeCell ref="J330:K330"/>
    <mergeCell ref="J329:K329"/>
    <mergeCell ref="F333:G333"/>
    <mergeCell ref="J328:K328"/>
    <mergeCell ref="J327:K327"/>
    <mergeCell ref="J325:K325"/>
    <mergeCell ref="J324:K324"/>
    <mergeCell ref="J323:K323"/>
    <mergeCell ref="J322:K322"/>
    <mergeCell ref="J321:K321"/>
    <mergeCell ref="J320:K320"/>
    <mergeCell ref="J319:K319"/>
    <mergeCell ref="F421:G421"/>
    <mergeCell ref="F390:G390"/>
    <mergeCell ref="F387:G387"/>
    <mergeCell ref="F386:G386"/>
    <mergeCell ref="F385:G385"/>
    <mergeCell ref="F384:G384"/>
    <mergeCell ref="F383:G383"/>
    <mergeCell ref="J421:K421"/>
    <mergeCell ref="J390:K390"/>
    <mergeCell ref="J387:K387"/>
    <mergeCell ref="J386:K386"/>
    <mergeCell ref="J385:K385"/>
    <mergeCell ref="J384:K384"/>
    <mergeCell ref="J383:K383"/>
    <mergeCell ref="F327:G327"/>
    <mergeCell ref="F329:G329"/>
    <mergeCell ref="F328:G328"/>
    <mergeCell ref="F325:G325"/>
    <mergeCell ref="F324:G324"/>
    <mergeCell ref="F323:G323"/>
    <mergeCell ref="J347:K347"/>
    <mergeCell ref="J346:K346"/>
    <mergeCell ref="J345:K345"/>
    <mergeCell ref="J344:K344"/>
    <mergeCell ref="J343:K343"/>
    <mergeCell ref="J342:K342"/>
    <mergeCell ref="J341:K341"/>
    <mergeCell ref="J340:K340"/>
    <mergeCell ref="J339:K339"/>
    <mergeCell ref="J338:K338"/>
    <mergeCell ref="J337:K337"/>
    <mergeCell ref="J336:K336"/>
    <mergeCell ref="J335:K335"/>
    <mergeCell ref="J334:K334"/>
    <mergeCell ref="J333:K333"/>
    <mergeCell ref="J332:K332"/>
    <mergeCell ref="J331:K331"/>
    <mergeCell ref="K16:L16"/>
    <mergeCell ref="K17:L17"/>
    <mergeCell ref="K18:L18"/>
    <mergeCell ref="K19:L19"/>
    <mergeCell ref="K21:L21"/>
    <mergeCell ref="B26:K26"/>
    <mergeCell ref="B25:K25"/>
    <mergeCell ref="K4:L4"/>
    <mergeCell ref="K5:L5"/>
    <mergeCell ref="K6:L6"/>
    <mergeCell ref="K7:L7"/>
    <mergeCell ref="K8:L8"/>
    <mergeCell ref="K9:L9"/>
    <mergeCell ref="K10:L10"/>
    <mergeCell ref="K11:L11"/>
    <mergeCell ref="K12:L12"/>
    <mergeCell ref="K13:L13"/>
    <mergeCell ref="K14:L14"/>
    <mergeCell ref="K15:L15"/>
    <mergeCell ref="B20:L20"/>
    <mergeCell ref="K128:L128"/>
    <mergeCell ref="K129:L129"/>
    <mergeCell ref="K130:L130"/>
    <mergeCell ref="K131:L131"/>
    <mergeCell ref="K132:L132"/>
    <mergeCell ref="K72:L72"/>
    <mergeCell ref="K73:L73"/>
    <mergeCell ref="K74:L74"/>
    <mergeCell ref="K75:L75"/>
    <mergeCell ref="K76:L76"/>
    <mergeCell ref="K67:L67"/>
    <mergeCell ref="K68:L68"/>
    <mergeCell ref="K69:L69"/>
    <mergeCell ref="K70:L70"/>
    <mergeCell ref="K71:L71"/>
    <mergeCell ref="K22:L22"/>
    <mergeCell ref="B24:L24"/>
    <mergeCell ref="K64:L64"/>
    <mergeCell ref="K65:L65"/>
    <mergeCell ref="K66:L66"/>
    <mergeCell ref="B27:L27"/>
    <mergeCell ref="K199:L199"/>
    <mergeCell ref="K200:L200"/>
    <mergeCell ref="K201:L201"/>
    <mergeCell ref="K202:L202"/>
    <mergeCell ref="K203:L203"/>
    <mergeCell ref="K194:L194"/>
    <mergeCell ref="K195:L195"/>
    <mergeCell ref="K196:L196"/>
    <mergeCell ref="K197:L197"/>
    <mergeCell ref="K198:L198"/>
    <mergeCell ref="K138:L138"/>
    <mergeCell ref="K139:L139"/>
    <mergeCell ref="K140:L140"/>
    <mergeCell ref="K192:L192"/>
    <mergeCell ref="K193:L193"/>
    <mergeCell ref="K133:L133"/>
    <mergeCell ref="K134:L134"/>
    <mergeCell ref="K135:L135"/>
    <mergeCell ref="K136:L136"/>
    <mergeCell ref="K137:L137"/>
    <mergeCell ref="J356:K356"/>
    <mergeCell ref="F330:G330"/>
    <mergeCell ref="F331:G331"/>
    <mergeCell ref="F332:G332"/>
    <mergeCell ref="F326:G326"/>
    <mergeCell ref="J326:K326"/>
    <mergeCell ref="K204:L204"/>
    <mergeCell ref="K261:L261"/>
    <mergeCell ref="K256:L256"/>
    <mergeCell ref="K267:L267"/>
    <mergeCell ref="K266:L266"/>
    <mergeCell ref="K265:L265"/>
    <mergeCell ref="K264:L264"/>
    <mergeCell ref="F334:G334"/>
    <mergeCell ref="F342:G342"/>
    <mergeCell ref="F341:G341"/>
    <mergeCell ref="F340:G340"/>
    <mergeCell ref="F339:G339"/>
    <mergeCell ref="F338:G338"/>
    <mergeCell ref="K263:L263"/>
    <mergeCell ref="K262:L262"/>
    <mergeCell ref="K260:L260"/>
    <mergeCell ref="K259:L259"/>
    <mergeCell ref="K258:L258"/>
    <mergeCell ref="K257:L257"/>
    <mergeCell ref="K255:L255"/>
    <mergeCell ref="F319:G319"/>
    <mergeCell ref="J352:K352"/>
    <mergeCell ref="J351:K351"/>
    <mergeCell ref="J350:K350"/>
    <mergeCell ref="J349:K349"/>
    <mergeCell ref="J348:K348"/>
    <mergeCell ref="J359:K359"/>
    <mergeCell ref="F337:G337"/>
    <mergeCell ref="F336:G336"/>
    <mergeCell ref="F335:G335"/>
    <mergeCell ref="F359:G359"/>
    <mergeCell ref="F358:G358"/>
    <mergeCell ref="F357:G357"/>
    <mergeCell ref="F356:G356"/>
    <mergeCell ref="F355:G355"/>
    <mergeCell ref="F354:G354"/>
    <mergeCell ref="F353:G353"/>
    <mergeCell ref="F388:G388"/>
    <mergeCell ref="J388:K388"/>
    <mergeCell ref="F389:G389"/>
    <mergeCell ref="J389:K389"/>
    <mergeCell ref="F391:G391"/>
    <mergeCell ref="J391:K391"/>
    <mergeCell ref="F347:G347"/>
    <mergeCell ref="F346:G346"/>
    <mergeCell ref="F345:G345"/>
    <mergeCell ref="F344:G344"/>
    <mergeCell ref="F343:G343"/>
    <mergeCell ref="F352:G352"/>
    <mergeCell ref="F351:G351"/>
    <mergeCell ref="F350:G350"/>
    <mergeCell ref="F349:G349"/>
    <mergeCell ref="F348:G348"/>
    <mergeCell ref="J355:K355"/>
    <mergeCell ref="J354:K354"/>
    <mergeCell ref="J353:K353"/>
    <mergeCell ref="J358:K358"/>
    <mergeCell ref="J357:K357"/>
    <mergeCell ref="F398:G398"/>
    <mergeCell ref="J398:K398"/>
    <mergeCell ref="F399:G399"/>
    <mergeCell ref="J399:K399"/>
    <mergeCell ref="F400:G400"/>
    <mergeCell ref="J400:K400"/>
    <mergeCell ref="F395:G395"/>
    <mergeCell ref="J395:K395"/>
    <mergeCell ref="F396:G396"/>
    <mergeCell ref="J396:K396"/>
    <mergeCell ref="F397:G397"/>
    <mergeCell ref="J397:K397"/>
    <mergeCell ref="F392:G392"/>
    <mergeCell ref="J392:K392"/>
    <mergeCell ref="F393:G393"/>
    <mergeCell ref="J393:K393"/>
    <mergeCell ref="F394:G394"/>
    <mergeCell ref="J394:K394"/>
    <mergeCell ref="F407:G407"/>
    <mergeCell ref="J407:K407"/>
    <mergeCell ref="F408:G408"/>
    <mergeCell ref="J408:K408"/>
    <mergeCell ref="F409:G409"/>
    <mergeCell ref="J409:K409"/>
    <mergeCell ref="F404:G404"/>
    <mergeCell ref="J404:K404"/>
    <mergeCell ref="F405:G405"/>
    <mergeCell ref="J405:K405"/>
    <mergeCell ref="F406:G406"/>
    <mergeCell ref="J406:K406"/>
    <mergeCell ref="F401:G401"/>
    <mergeCell ref="J401:K401"/>
    <mergeCell ref="F402:G402"/>
    <mergeCell ref="J402:K402"/>
    <mergeCell ref="F403:G403"/>
    <mergeCell ref="J403:K403"/>
    <mergeCell ref="F416:G416"/>
    <mergeCell ref="J416:K416"/>
    <mergeCell ref="F417:G417"/>
    <mergeCell ref="J417:K417"/>
    <mergeCell ref="F413:G413"/>
    <mergeCell ref="J413:K413"/>
    <mergeCell ref="F414:G414"/>
    <mergeCell ref="J414:K414"/>
    <mergeCell ref="F415:G415"/>
    <mergeCell ref="J415:K415"/>
    <mergeCell ref="F410:G410"/>
    <mergeCell ref="J410:K410"/>
    <mergeCell ref="F411:G411"/>
    <mergeCell ref="J411:K411"/>
    <mergeCell ref="F412:G412"/>
    <mergeCell ref="J412:K412"/>
    <mergeCell ref="F420:G420"/>
    <mergeCell ref="J420:K420"/>
    <mergeCell ref="F422:G422"/>
    <mergeCell ref="J422:K422"/>
    <mergeCell ref="F423:G423"/>
    <mergeCell ref="J423:K423"/>
    <mergeCell ref="F418:G418"/>
    <mergeCell ref="J418:K418"/>
    <mergeCell ref="F419:G419"/>
    <mergeCell ref="J419:K419"/>
    <mergeCell ref="F455:G455"/>
    <mergeCell ref="J455:K455"/>
    <mergeCell ref="F456:G456"/>
    <mergeCell ref="J456:K456"/>
    <mergeCell ref="F457:G457"/>
    <mergeCell ref="J457:K457"/>
    <mergeCell ref="F451:G451"/>
    <mergeCell ref="J451:K451"/>
    <mergeCell ref="F453:G453"/>
    <mergeCell ref="J453:K453"/>
    <mergeCell ref="F454:G454"/>
    <mergeCell ref="J454:K454"/>
    <mergeCell ref="F450:G450"/>
    <mergeCell ref="J450:K450"/>
    <mergeCell ref="F452:G452"/>
    <mergeCell ref="F449:G449"/>
    <mergeCell ref="F448:G448"/>
    <mergeCell ref="F447:G447"/>
    <mergeCell ref="J452:K452"/>
    <mergeCell ref="J449:K449"/>
    <mergeCell ref="J448:K448"/>
    <mergeCell ref="J447:K447"/>
    <mergeCell ref="B425:L427"/>
    <mergeCell ref="F458:G458"/>
    <mergeCell ref="J458:K458"/>
    <mergeCell ref="F459:G459"/>
    <mergeCell ref="J459:K459"/>
    <mergeCell ref="F460:G460"/>
    <mergeCell ref="J460:K460"/>
    <mergeCell ref="F473:G473"/>
    <mergeCell ref="J473:K473"/>
    <mergeCell ref="F474:G474"/>
    <mergeCell ref="J474:K474"/>
    <mergeCell ref="F475:G475"/>
    <mergeCell ref="J475:K475"/>
    <mergeCell ref="F470:G470"/>
    <mergeCell ref="J470:K470"/>
    <mergeCell ref="F471:G471"/>
    <mergeCell ref="J471:K471"/>
    <mergeCell ref="F472:G472"/>
    <mergeCell ref="J472:K472"/>
    <mergeCell ref="F467:G467"/>
    <mergeCell ref="J467:K467"/>
    <mergeCell ref="F468:G468"/>
    <mergeCell ref="J468:K468"/>
    <mergeCell ref="F469:G469"/>
    <mergeCell ref="J469:K469"/>
    <mergeCell ref="J476:K476"/>
    <mergeCell ref="F477:G477"/>
    <mergeCell ref="J477:K477"/>
    <mergeCell ref="F478:G478"/>
    <mergeCell ref="J478:K478"/>
    <mergeCell ref="F514:G514"/>
    <mergeCell ref="J514:K514"/>
    <mergeCell ref="F484:G484"/>
    <mergeCell ref="J484:K484"/>
    <mergeCell ref="F485:G485"/>
    <mergeCell ref="J485:K485"/>
    <mergeCell ref="F486:G486"/>
    <mergeCell ref="J486:K486"/>
    <mergeCell ref="F487:G487"/>
    <mergeCell ref="J487:K487"/>
    <mergeCell ref="F522:G522"/>
    <mergeCell ref="J522:K522"/>
    <mergeCell ref="F480:G480"/>
    <mergeCell ref="J480:K480"/>
    <mergeCell ref="F476:G476"/>
    <mergeCell ref="F523:G523"/>
    <mergeCell ref="J523:K523"/>
    <mergeCell ref="F524:G524"/>
    <mergeCell ref="J524:K524"/>
    <mergeCell ref="F519:G519"/>
    <mergeCell ref="J519:K519"/>
    <mergeCell ref="F520:G520"/>
    <mergeCell ref="J520:K520"/>
    <mergeCell ref="F521:G521"/>
    <mergeCell ref="J521:K521"/>
    <mergeCell ref="F516:G516"/>
    <mergeCell ref="J516:K516"/>
    <mergeCell ref="F517:G517"/>
    <mergeCell ref="J517:K517"/>
    <mergeCell ref="F518:G518"/>
    <mergeCell ref="J518:K518"/>
    <mergeCell ref="F531:G531"/>
    <mergeCell ref="J531:K531"/>
    <mergeCell ref="F532:G532"/>
    <mergeCell ref="J532:K532"/>
    <mergeCell ref="F533:G533"/>
    <mergeCell ref="J533:K533"/>
    <mergeCell ref="F528:G528"/>
    <mergeCell ref="J528:K528"/>
    <mergeCell ref="F529:G529"/>
    <mergeCell ref="J529:K529"/>
    <mergeCell ref="F530:G530"/>
    <mergeCell ref="J530:K530"/>
    <mergeCell ref="F525:G525"/>
    <mergeCell ref="J525:K525"/>
    <mergeCell ref="F526:G526"/>
    <mergeCell ref="J526:K526"/>
    <mergeCell ref="F527:G527"/>
    <mergeCell ref="J527:K527"/>
    <mergeCell ref="F540:G540"/>
    <mergeCell ref="J540:K540"/>
    <mergeCell ref="F541:G541"/>
    <mergeCell ref="J541:K541"/>
    <mergeCell ref="F542:G542"/>
    <mergeCell ref="J542:K542"/>
    <mergeCell ref="F537:G537"/>
    <mergeCell ref="J537:K537"/>
    <mergeCell ref="F538:G538"/>
    <mergeCell ref="J538:K538"/>
    <mergeCell ref="F539:G539"/>
    <mergeCell ref="J539:K539"/>
    <mergeCell ref="F534:G534"/>
    <mergeCell ref="J534:K534"/>
    <mergeCell ref="F535:G535"/>
    <mergeCell ref="J535:K535"/>
    <mergeCell ref="F536:G536"/>
    <mergeCell ref="J536:K536"/>
    <mergeCell ref="F549:G549"/>
    <mergeCell ref="J549:K549"/>
    <mergeCell ref="F551:G551"/>
    <mergeCell ref="J551:K551"/>
    <mergeCell ref="F546:G546"/>
    <mergeCell ref="J546:K546"/>
    <mergeCell ref="F548:G548"/>
    <mergeCell ref="J548:K548"/>
    <mergeCell ref="F543:G543"/>
    <mergeCell ref="J543:K543"/>
    <mergeCell ref="F544:G544"/>
    <mergeCell ref="J544:K544"/>
    <mergeCell ref="F545:G545"/>
    <mergeCell ref="J545:K545"/>
    <mergeCell ref="F579:G579"/>
    <mergeCell ref="J579:K579"/>
    <mergeCell ref="F580:G580"/>
    <mergeCell ref="J580:K580"/>
    <mergeCell ref="F552:G552"/>
    <mergeCell ref="F550:G550"/>
    <mergeCell ref="F547:G547"/>
    <mergeCell ref="F581:G581"/>
    <mergeCell ref="J581:K581"/>
    <mergeCell ref="F576:G576"/>
    <mergeCell ref="J576:K576"/>
    <mergeCell ref="F577:G577"/>
    <mergeCell ref="J577:K577"/>
    <mergeCell ref="F578:G578"/>
    <mergeCell ref="J578:K578"/>
    <mergeCell ref="F588:G588"/>
    <mergeCell ref="J588:K588"/>
    <mergeCell ref="F589:G589"/>
    <mergeCell ref="J589:K589"/>
    <mergeCell ref="F590:G590"/>
    <mergeCell ref="J590:K590"/>
    <mergeCell ref="F585:G585"/>
    <mergeCell ref="J585:K585"/>
    <mergeCell ref="F586:G586"/>
    <mergeCell ref="J586:K586"/>
    <mergeCell ref="F587:G587"/>
    <mergeCell ref="J587:K587"/>
    <mergeCell ref="F582:G582"/>
    <mergeCell ref="J582:K582"/>
    <mergeCell ref="F583:G583"/>
    <mergeCell ref="J583:K583"/>
    <mergeCell ref="F584:G584"/>
    <mergeCell ref="J584:K584"/>
    <mergeCell ref="F597:G597"/>
    <mergeCell ref="J597:K597"/>
    <mergeCell ref="F598:G598"/>
    <mergeCell ref="J598:K598"/>
    <mergeCell ref="F599:G599"/>
    <mergeCell ref="J599:K599"/>
    <mergeCell ref="F594:G594"/>
    <mergeCell ref="J594:K594"/>
    <mergeCell ref="F595:G595"/>
    <mergeCell ref="J595:K595"/>
    <mergeCell ref="F596:G596"/>
    <mergeCell ref="J596:K596"/>
    <mergeCell ref="F591:G591"/>
    <mergeCell ref="J591:K591"/>
    <mergeCell ref="F592:G592"/>
    <mergeCell ref="J592:K592"/>
    <mergeCell ref="F593:G593"/>
    <mergeCell ref="J593:K593"/>
    <mergeCell ref="F606:G606"/>
    <mergeCell ref="J606:K606"/>
    <mergeCell ref="F607:G607"/>
    <mergeCell ref="J607:K607"/>
    <mergeCell ref="F608:G608"/>
    <mergeCell ref="J608:K608"/>
    <mergeCell ref="F603:G603"/>
    <mergeCell ref="J603:K603"/>
    <mergeCell ref="F604:G604"/>
    <mergeCell ref="J604:K604"/>
    <mergeCell ref="F605:G605"/>
    <mergeCell ref="J605:K605"/>
    <mergeCell ref="F600:G600"/>
    <mergeCell ref="J600:K600"/>
    <mergeCell ref="F601:G601"/>
    <mergeCell ref="J601:K601"/>
    <mergeCell ref="F602:G602"/>
    <mergeCell ref="J602:K602"/>
    <mergeCell ref="F615:G615"/>
    <mergeCell ref="J615:K615"/>
    <mergeCell ref="F616:G616"/>
    <mergeCell ref="J616:K616"/>
    <mergeCell ref="F612:G612"/>
    <mergeCell ref="J612:K612"/>
    <mergeCell ref="F613:G613"/>
    <mergeCell ref="J613:K613"/>
    <mergeCell ref="F614:G614"/>
    <mergeCell ref="J614:K614"/>
    <mergeCell ref="F609:G609"/>
    <mergeCell ref="J609:K609"/>
    <mergeCell ref="F610:G610"/>
    <mergeCell ref="J610:K610"/>
    <mergeCell ref="F611:G611"/>
    <mergeCell ref="J611:K611"/>
    <mergeCell ref="F645:G645"/>
    <mergeCell ref="J645:K645"/>
    <mergeCell ref="F642:G642"/>
    <mergeCell ref="J642:K642"/>
    <mergeCell ref="F643:G643"/>
    <mergeCell ref="J643:K643"/>
    <mergeCell ref="F644:G644"/>
    <mergeCell ref="J644:K644"/>
    <mergeCell ref="F641:G641"/>
    <mergeCell ref="J641:K641"/>
    <mergeCell ref="F640:G640"/>
    <mergeCell ref="F656:G656"/>
    <mergeCell ref="J656:K656"/>
    <mergeCell ref="F651:G651"/>
    <mergeCell ref="J651:K651"/>
    <mergeCell ref="F652:G652"/>
    <mergeCell ref="J652:K652"/>
    <mergeCell ref="F653:G653"/>
    <mergeCell ref="J653:K653"/>
    <mergeCell ref="F648:G648"/>
    <mergeCell ref="J648:K648"/>
    <mergeCell ref="F649:G649"/>
    <mergeCell ref="J649:K649"/>
    <mergeCell ref="F650:G650"/>
    <mergeCell ref="J650:K650"/>
    <mergeCell ref="F663:G663"/>
    <mergeCell ref="J663:K663"/>
    <mergeCell ref="F664:G664"/>
    <mergeCell ref="J664:K664"/>
    <mergeCell ref="F665:G665"/>
    <mergeCell ref="J665:K665"/>
    <mergeCell ref="F660:G660"/>
    <mergeCell ref="J660:K660"/>
    <mergeCell ref="F661:G661"/>
    <mergeCell ref="J661:K661"/>
    <mergeCell ref="F662:G662"/>
    <mergeCell ref="J662:K662"/>
    <mergeCell ref="F657:G657"/>
    <mergeCell ref="J657:K657"/>
    <mergeCell ref="F658:G658"/>
    <mergeCell ref="J658:K658"/>
    <mergeCell ref="F659:G659"/>
    <mergeCell ref="J659:K659"/>
    <mergeCell ref="F673:G673"/>
    <mergeCell ref="J673:K673"/>
    <mergeCell ref="F674:G674"/>
    <mergeCell ref="J674:K674"/>
    <mergeCell ref="F669:G669"/>
    <mergeCell ref="J669:K669"/>
    <mergeCell ref="F670:G670"/>
    <mergeCell ref="J670:K670"/>
    <mergeCell ref="F671:G671"/>
    <mergeCell ref="J671:K671"/>
    <mergeCell ref="F666:G666"/>
    <mergeCell ref="J666:K666"/>
    <mergeCell ref="F667:G667"/>
    <mergeCell ref="J667:K667"/>
    <mergeCell ref="F668:G668"/>
    <mergeCell ref="J668:K668"/>
    <mergeCell ref="F672:G672"/>
    <mergeCell ref="F704:G704"/>
    <mergeCell ref="J704:K704"/>
    <mergeCell ref="F705:G705"/>
    <mergeCell ref="J705:K705"/>
    <mergeCell ref="F711:G711"/>
    <mergeCell ref="J711:K711"/>
    <mergeCell ref="F712:G712"/>
    <mergeCell ref="J712:K712"/>
    <mergeCell ref="F713:G713"/>
    <mergeCell ref="J713:K713"/>
    <mergeCell ref="F708:G708"/>
    <mergeCell ref="J708:K708"/>
    <mergeCell ref="F709:G709"/>
    <mergeCell ref="J709:K709"/>
    <mergeCell ref="F710:G710"/>
    <mergeCell ref="J710:K710"/>
    <mergeCell ref="F706:G706"/>
    <mergeCell ref="J706:K706"/>
    <mergeCell ref="F707:G707"/>
    <mergeCell ref="J707:K707"/>
    <mergeCell ref="F720:G720"/>
    <mergeCell ref="J720:K720"/>
    <mergeCell ref="F721:G721"/>
    <mergeCell ref="J721:K721"/>
    <mergeCell ref="F722:G722"/>
    <mergeCell ref="J722:K722"/>
    <mergeCell ref="F717:G717"/>
    <mergeCell ref="J717:K717"/>
    <mergeCell ref="F718:G718"/>
    <mergeCell ref="J718:K718"/>
    <mergeCell ref="F719:G719"/>
    <mergeCell ref="J719:K719"/>
    <mergeCell ref="F714:G714"/>
    <mergeCell ref="J714:K714"/>
    <mergeCell ref="F715:G715"/>
    <mergeCell ref="J715:K715"/>
    <mergeCell ref="F716:G716"/>
    <mergeCell ref="J716:K716"/>
    <mergeCell ref="F729:G729"/>
    <mergeCell ref="J729:K729"/>
    <mergeCell ref="F730:G730"/>
    <mergeCell ref="J730:K730"/>
    <mergeCell ref="F731:G731"/>
    <mergeCell ref="J731:K731"/>
    <mergeCell ref="F726:G726"/>
    <mergeCell ref="J726:K726"/>
    <mergeCell ref="F727:G727"/>
    <mergeCell ref="J727:K727"/>
    <mergeCell ref="F728:G728"/>
    <mergeCell ref="J728:K728"/>
    <mergeCell ref="F723:G723"/>
    <mergeCell ref="J723:K723"/>
    <mergeCell ref="F724:G724"/>
    <mergeCell ref="J724:K724"/>
    <mergeCell ref="F725:G725"/>
    <mergeCell ref="J725:K725"/>
    <mergeCell ref="F739:G739"/>
    <mergeCell ref="J739:K739"/>
    <mergeCell ref="F740:G740"/>
    <mergeCell ref="J740:K740"/>
    <mergeCell ref="F736:G736"/>
    <mergeCell ref="J736:K736"/>
    <mergeCell ref="F737:G737"/>
    <mergeCell ref="J737:K737"/>
    <mergeCell ref="F738:G738"/>
    <mergeCell ref="J738:K738"/>
    <mergeCell ref="F732:G732"/>
    <mergeCell ref="J732:K732"/>
    <mergeCell ref="F733:G733"/>
    <mergeCell ref="J733:K733"/>
    <mergeCell ref="F735:G735"/>
    <mergeCell ref="J735:K735"/>
    <mergeCell ref="F768:G768"/>
    <mergeCell ref="J768:K768"/>
    <mergeCell ref="F769:G769"/>
    <mergeCell ref="J769:K769"/>
    <mergeCell ref="F770:G770"/>
    <mergeCell ref="J770:K770"/>
    <mergeCell ref="F833:G833"/>
    <mergeCell ref="J833:K833"/>
    <mergeCell ref="F834:G834"/>
    <mergeCell ref="J834:K834"/>
    <mergeCell ref="F835:G835"/>
    <mergeCell ref="J835:K835"/>
    <mergeCell ref="F832:G832"/>
    <mergeCell ref="J832:K832"/>
    <mergeCell ref="F836:G836"/>
    <mergeCell ref="J836:K836"/>
    <mergeCell ref="F901:G901"/>
    <mergeCell ref="J901:K901"/>
    <mergeCell ref="F902:G902"/>
    <mergeCell ref="J902:K902"/>
    <mergeCell ref="F898:G898"/>
    <mergeCell ref="J898:K898"/>
    <mergeCell ref="F899:G899"/>
    <mergeCell ref="J899:K899"/>
    <mergeCell ref="F900:G900"/>
    <mergeCell ref="J900:K900"/>
    <mergeCell ref="F896:G896"/>
    <mergeCell ref="J896:K896"/>
    <mergeCell ref="F897:G897"/>
    <mergeCell ref="J897:K897"/>
    <mergeCell ref="J857:K857"/>
    <mergeCell ref="J858:K858"/>
    <mergeCell ref="J859:K859"/>
    <mergeCell ref="J860:K860"/>
    <mergeCell ref="F961:G961"/>
    <mergeCell ref="J961:K961"/>
    <mergeCell ref="F962:G962"/>
    <mergeCell ref="J962:K962"/>
    <mergeCell ref="F963:G963"/>
    <mergeCell ref="J963:K963"/>
    <mergeCell ref="F960:G960"/>
    <mergeCell ref="J960:K960"/>
    <mergeCell ref="F970:G970"/>
    <mergeCell ref="J970:K970"/>
    <mergeCell ref="F967:G967"/>
    <mergeCell ref="J967:K967"/>
    <mergeCell ref="F968:G968"/>
    <mergeCell ref="J968:K968"/>
    <mergeCell ref="F969:G969"/>
    <mergeCell ref="J969:K969"/>
    <mergeCell ref="F964:G964"/>
    <mergeCell ref="J964:K964"/>
    <mergeCell ref="F965:G965"/>
    <mergeCell ref="J965:K965"/>
    <mergeCell ref="F966:G966"/>
    <mergeCell ref="J966:K966"/>
    <mergeCell ref="F1030:G1030"/>
    <mergeCell ref="J1030:K1030"/>
    <mergeCell ref="F1031:G1031"/>
    <mergeCell ref="J1031:K1031"/>
    <mergeCell ref="F1032:G1032"/>
    <mergeCell ref="J1032:K1032"/>
    <mergeCell ref="F1027:G1027"/>
    <mergeCell ref="J1027:K1027"/>
    <mergeCell ref="F1028:G1028"/>
    <mergeCell ref="J1028:K1028"/>
    <mergeCell ref="F1029:G1029"/>
    <mergeCell ref="J1029:K1029"/>
    <mergeCell ref="F1025:G1025"/>
    <mergeCell ref="J1025:K1025"/>
    <mergeCell ref="F1026:G1026"/>
    <mergeCell ref="J1026:K1026"/>
    <mergeCell ref="F1036:G1036"/>
    <mergeCell ref="J1036:K1036"/>
    <mergeCell ref="F1037:G1037"/>
    <mergeCell ref="J1037:K1037"/>
    <mergeCell ref="F1033:G1033"/>
    <mergeCell ref="J1033:K1033"/>
    <mergeCell ref="F1034:G1034"/>
    <mergeCell ref="J1034:K1034"/>
    <mergeCell ref="F1035:G1035"/>
    <mergeCell ref="J1035:K1035"/>
    <mergeCell ref="F1089:G1089"/>
    <mergeCell ref="J1089:K1089"/>
    <mergeCell ref="F1090:G1090"/>
    <mergeCell ref="J1090:K1090"/>
    <mergeCell ref="F1091:G1091"/>
    <mergeCell ref="J1091:K1091"/>
    <mergeCell ref="F1098:G1098"/>
    <mergeCell ref="J1098:K1098"/>
    <mergeCell ref="F1099:G1099"/>
    <mergeCell ref="J1099:K1099"/>
    <mergeCell ref="F1057:G1057"/>
    <mergeCell ref="F1056:G1056"/>
    <mergeCell ref="F1055:G1055"/>
    <mergeCell ref="F1054:G1054"/>
    <mergeCell ref="F1053:G1053"/>
    <mergeCell ref="F1052:G1052"/>
    <mergeCell ref="F1051:G1051"/>
    <mergeCell ref="F1050:G1050"/>
    <mergeCell ref="F1049:G1049"/>
    <mergeCell ref="F1048:G1048"/>
    <mergeCell ref="F1047:G1047"/>
    <mergeCell ref="F1046:G1046"/>
    <mergeCell ref="F1045:G1045"/>
    <mergeCell ref="F1044:G1044"/>
    <mergeCell ref="F1100:G1100"/>
    <mergeCell ref="J1100:K1100"/>
    <mergeCell ref="F1095:G1095"/>
    <mergeCell ref="J1095:K1095"/>
    <mergeCell ref="F1096:G1096"/>
    <mergeCell ref="J1096:K1096"/>
    <mergeCell ref="F1097:G1097"/>
    <mergeCell ref="J1097:K1097"/>
    <mergeCell ref="F1092:G1092"/>
    <mergeCell ref="J1092:K1092"/>
    <mergeCell ref="F1093:G1093"/>
    <mergeCell ref="J1093:K1093"/>
    <mergeCell ref="F1094:G1094"/>
    <mergeCell ref="J1094:K1094"/>
    <mergeCell ref="F1101:G1101"/>
    <mergeCell ref="J1101:K1101"/>
    <mergeCell ref="F1102:G1102"/>
    <mergeCell ref="J1102:K1102"/>
    <mergeCell ref="F1103:G1103"/>
    <mergeCell ref="J1103:K1103"/>
    <mergeCell ref="F1108:G1108"/>
    <mergeCell ref="J1108:K1108"/>
    <mergeCell ref="F1110:G1110"/>
    <mergeCell ref="J1110:K1110"/>
    <mergeCell ref="F1111:G1111"/>
    <mergeCell ref="J1111:K1111"/>
    <mergeCell ref="F1104:G1104"/>
    <mergeCell ref="J1104:K1104"/>
    <mergeCell ref="F1106:G1106"/>
    <mergeCell ref="J1106:K1106"/>
    <mergeCell ref="F1107:G1107"/>
    <mergeCell ref="J1107:K1107"/>
    <mergeCell ref="F1159:G1159"/>
    <mergeCell ref="J1159:K1159"/>
    <mergeCell ref="F1155:G1155"/>
    <mergeCell ref="J1155:K1155"/>
    <mergeCell ref="F1156:G1156"/>
    <mergeCell ref="J1156:K1156"/>
    <mergeCell ref="F1154:G1154"/>
    <mergeCell ref="J1154:K1154"/>
    <mergeCell ref="F1118:G1118"/>
    <mergeCell ref="F1117:G1117"/>
    <mergeCell ref="F1116:G1116"/>
    <mergeCell ref="F1115:G1115"/>
    <mergeCell ref="F1114:G1114"/>
    <mergeCell ref="F1113:G1113"/>
    <mergeCell ref="F1112:G1112"/>
    <mergeCell ref="F1109:G1109"/>
    <mergeCell ref="F1105:G1105"/>
    <mergeCell ref="J1120:K1120"/>
    <mergeCell ref="J1157:K1157"/>
    <mergeCell ref="F1168:G1168"/>
    <mergeCell ref="J1168:K1168"/>
    <mergeCell ref="F1163:G1163"/>
    <mergeCell ref="J1163:K1163"/>
    <mergeCell ref="F1164:G1164"/>
    <mergeCell ref="J1164:K1164"/>
    <mergeCell ref="F1165:G1165"/>
    <mergeCell ref="J1165:K1165"/>
    <mergeCell ref="F1160:G1160"/>
    <mergeCell ref="J1160:K1160"/>
    <mergeCell ref="F1161:G1161"/>
    <mergeCell ref="J1161:K1161"/>
    <mergeCell ref="F1162:G1162"/>
    <mergeCell ref="J1162:K1162"/>
    <mergeCell ref="F1158:G1158"/>
    <mergeCell ref="J1158:K1158"/>
    <mergeCell ref="F1190:G1190"/>
    <mergeCell ref="F1189:G1189"/>
    <mergeCell ref="F1188:G1188"/>
    <mergeCell ref="F1187:G1187"/>
    <mergeCell ref="F1186:G1186"/>
    <mergeCell ref="F1185:G1185"/>
    <mergeCell ref="F1184:G1184"/>
    <mergeCell ref="F1183:G1183"/>
    <mergeCell ref="F1182:G1182"/>
    <mergeCell ref="F1181:G1181"/>
    <mergeCell ref="F1166:G1166"/>
    <mergeCell ref="J1166:K1166"/>
    <mergeCell ref="F1167:G1167"/>
    <mergeCell ref="J1167:K1167"/>
    <mergeCell ref="F1180:G1180"/>
    <mergeCell ref="F1172:G1172"/>
    <mergeCell ref="J1172:K1172"/>
    <mergeCell ref="K1218:L1218"/>
    <mergeCell ref="G1218:H1218"/>
    <mergeCell ref="F1173:G1173"/>
    <mergeCell ref="J1173:K1173"/>
    <mergeCell ref="F1174:G1174"/>
    <mergeCell ref="J1174:K1174"/>
    <mergeCell ref="F1175:G1175"/>
    <mergeCell ref="J1175:K1175"/>
    <mergeCell ref="F1169:G1169"/>
    <mergeCell ref="J1169:K1169"/>
    <mergeCell ref="F1170:G1170"/>
    <mergeCell ref="J1170:K1170"/>
    <mergeCell ref="F1171:G1171"/>
    <mergeCell ref="J1171:K1171"/>
    <mergeCell ref="F1179:G1179"/>
    <mergeCell ref="F1178:G1178"/>
    <mergeCell ref="F1177:G1177"/>
    <mergeCell ref="F1176:G1176"/>
    <mergeCell ref="J1194:K1194"/>
    <mergeCell ref="J1193:K1193"/>
    <mergeCell ref="J1192:K1192"/>
    <mergeCell ref="J1191:K1191"/>
    <mergeCell ref="J1190:K1190"/>
    <mergeCell ref="J1189:K1189"/>
    <mergeCell ref="J1188:K1188"/>
    <mergeCell ref="J1187:K1187"/>
    <mergeCell ref="J1186:K1186"/>
    <mergeCell ref="J1185:K1185"/>
    <mergeCell ref="F1194:G1194"/>
    <mergeCell ref="F1193:G1193"/>
    <mergeCell ref="F1192:G1192"/>
    <mergeCell ref="F1191:G1191"/>
    <mergeCell ref="G1227:H1227"/>
    <mergeCell ref="G1228:H1228"/>
    <mergeCell ref="G1219:H1219"/>
    <mergeCell ref="G1220:H1220"/>
    <mergeCell ref="G1221:H1221"/>
    <mergeCell ref="G1222:H1222"/>
    <mergeCell ref="G1223:H1223"/>
    <mergeCell ref="G1234:H1234"/>
    <mergeCell ref="G1233:H1233"/>
    <mergeCell ref="G1232:H1232"/>
    <mergeCell ref="K1219:L1219"/>
    <mergeCell ref="K1229:L1229"/>
    <mergeCell ref="K1228:L1228"/>
    <mergeCell ref="K1227:L1227"/>
    <mergeCell ref="K1226:L1226"/>
    <mergeCell ref="K1225:L1225"/>
    <mergeCell ref="K1224:L1224"/>
    <mergeCell ref="K1223:L1223"/>
    <mergeCell ref="K1222:L1222"/>
    <mergeCell ref="K1221:L1221"/>
    <mergeCell ref="K1220:L1220"/>
    <mergeCell ref="K1232:L1232"/>
    <mergeCell ref="K1231:L1231"/>
    <mergeCell ref="G1224:H1224"/>
    <mergeCell ref="G1225:H1225"/>
    <mergeCell ref="G1226:H1226"/>
    <mergeCell ref="G1237:H1237"/>
    <mergeCell ref="G1236:H1236"/>
    <mergeCell ref="G1235:H1235"/>
    <mergeCell ref="G1229:H1229"/>
    <mergeCell ref="G1230:H1230"/>
    <mergeCell ref="G1231:H1231"/>
    <mergeCell ref="G1286:H1286"/>
    <mergeCell ref="G1285:H1285"/>
    <mergeCell ref="G1284:H1284"/>
    <mergeCell ref="G1283:H1283"/>
    <mergeCell ref="K1230:L1230"/>
    <mergeCell ref="K1286:L1286"/>
    <mergeCell ref="K1285:L1285"/>
    <mergeCell ref="K1284:L1284"/>
    <mergeCell ref="K1283:L1283"/>
    <mergeCell ref="K1237:L1237"/>
    <mergeCell ref="K1236:L1236"/>
    <mergeCell ref="K1235:L1235"/>
    <mergeCell ref="K1234:L1234"/>
    <mergeCell ref="K1233:L1233"/>
    <mergeCell ref="G1257:H1257"/>
    <mergeCell ref="G1256:H1256"/>
    <mergeCell ref="G1255:H1255"/>
    <mergeCell ref="G1254:H1254"/>
    <mergeCell ref="G1253:H1253"/>
    <mergeCell ref="G1252:H1252"/>
    <mergeCell ref="G1251:H1251"/>
    <mergeCell ref="G1250:H1250"/>
    <mergeCell ref="G1249:H1249"/>
    <mergeCell ref="G1248:H1248"/>
    <mergeCell ref="G1247:H1247"/>
    <mergeCell ref="G1246:H1246"/>
    <mergeCell ref="K1439:L1439"/>
    <mergeCell ref="K1438:L1438"/>
    <mergeCell ref="K1437:L1437"/>
    <mergeCell ref="K1436:L1436"/>
    <mergeCell ref="G1439:H1439"/>
    <mergeCell ref="G1438:H1438"/>
    <mergeCell ref="G1437:H1437"/>
    <mergeCell ref="G1436:H1436"/>
    <mergeCell ref="K1374:L1374"/>
    <mergeCell ref="G1374:H1374"/>
    <mergeCell ref="K1376:L1376"/>
    <mergeCell ref="K1375:L1375"/>
    <mergeCell ref="G1376:H1376"/>
    <mergeCell ref="G1375:H1375"/>
    <mergeCell ref="K1384:L1384"/>
    <mergeCell ref="K1383:L1383"/>
    <mergeCell ref="K1382:L1382"/>
    <mergeCell ref="K1381:L1381"/>
    <mergeCell ref="K1380:L1380"/>
    <mergeCell ref="K1379:L1379"/>
    <mergeCell ref="K1378:L1378"/>
    <mergeCell ref="K1377:L1377"/>
    <mergeCell ref="K1396:L1396"/>
    <mergeCell ref="K1395:L1395"/>
    <mergeCell ref="K1394:L1394"/>
    <mergeCell ref="K1393:L1393"/>
    <mergeCell ref="K1392:L1392"/>
    <mergeCell ref="K1391:L1391"/>
    <mergeCell ref="G1380:H1380"/>
    <mergeCell ref="G1379:H1379"/>
    <mergeCell ref="G1378:H1378"/>
    <mergeCell ref="G1377:H1377"/>
    <mergeCell ref="F1043:G1043"/>
    <mergeCell ref="F1042:G1042"/>
    <mergeCell ref="F1041:G1041"/>
    <mergeCell ref="F1040:G1040"/>
    <mergeCell ref="F1039:G1039"/>
    <mergeCell ref="F1038:G1038"/>
    <mergeCell ref="F1065:G1065"/>
    <mergeCell ref="F1064:G1064"/>
    <mergeCell ref="F1063:G1063"/>
    <mergeCell ref="F1062:G1062"/>
    <mergeCell ref="F1061:G1061"/>
    <mergeCell ref="F1060:G1060"/>
    <mergeCell ref="F1058:G1058"/>
    <mergeCell ref="F1059:G1059"/>
    <mergeCell ref="J1038:K1038"/>
    <mergeCell ref="J1039:K1039"/>
    <mergeCell ref="J1040:K1040"/>
    <mergeCell ref="J1041:K1041"/>
    <mergeCell ref="J1042:K1042"/>
    <mergeCell ref="J1043:K1043"/>
    <mergeCell ref="J1044:K1044"/>
    <mergeCell ref="J1045:K1045"/>
    <mergeCell ref="J1046:K1046"/>
    <mergeCell ref="J1047:K1047"/>
    <mergeCell ref="J1048:K1048"/>
    <mergeCell ref="J1049:K1049"/>
    <mergeCell ref="J1050:K1050"/>
    <mergeCell ref="J1051:K1051"/>
    <mergeCell ref="J1052:K1052"/>
    <mergeCell ref="J1053:K1053"/>
    <mergeCell ref="J1054:K1054"/>
    <mergeCell ref="J1055:K1055"/>
    <mergeCell ref="J1056:K1056"/>
    <mergeCell ref="J1057:K1057"/>
    <mergeCell ref="J1058:K1058"/>
    <mergeCell ref="J1059:K1059"/>
    <mergeCell ref="J1060:K1060"/>
    <mergeCell ref="J1061:K1061"/>
    <mergeCell ref="J1062:K1062"/>
    <mergeCell ref="J1063:K1063"/>
    <mergeCell ref="J1064:K1064"/>
    <mergeCell ref="J1065:K1065"/>
    <mergeCell ref="J1000:K1000"/>
    <mergeCell ref="J999:K999"/>
    <mergeCell ref="J998:K998"/>
    <mergeCell ref="J997:K997"/>
    <mergeCell ref="J996:K996"/>
    <mergeCell ref="J995:K995"/>
    <mergeCell ref="J994:K994"/>
    <mergeCell ref="J993:K993"/>
    <mergeCell ref="J992:K992"/>
    <mergeCell ref="J991:K991"/>
    <mergeCell ref="J990:K990"/>
    <mergeCell ref="J989:K989"/>
    <mergeCell ref="J988:K988"/>
    <mergeCell ref="J987:K987"/>
    <mergeCell ref="J986:K986"/>
    <mergeCell ref="J985:K985"/>
    <mergeCell ref="J984:K984"/>
    <mergeCell ref="J983:K983"/>
    <mergeCell ref="J982:K982"/>
    <mergeCell ref="J981:K981"/>
    <mergeCell ref="J980:K980"/>
    <mergeCell ref="J979:K979"/>
    <mergeCell ref="J978:K978"/>
    <mergeCell ref="J977:K977"/>
    <mergeCell ref="J976:K976"/>
    <mergeCell ref="J975:K975"/>
    <mergeCell ref="J974:K974"/>
    <mergeCell ref="J973:K973"/>
    <mergeCell ref="J972:K972"/>
    <mergeCell ref="J971:K971"/>
    <mergeCell ref="J903:K903"/>
    <mergeCell ref="J904:K904"/>
    <mergeCell ref="J905:K905"/>
    <mergeCell ref="J906:K906"/>
    <mergeCell ref="J907:K907"/>
    <mergeCell ref="J908:K908"/>
    <mergeCell ref="J909:K909"/>
    <mergeCell ref="J910:K910"/>
    <mergeCell ref="J911:K911"/>
    <mergeCell ref="J912:K912"/>
    <mergeCell ref="J913:K913"/>
    <mergeCell ref="J914:K914"/>
    <mergeCell ref="J915:K915"/>
    <mergeCell ref="J916:K916"/>
    <mergeCell ref="J917:K917"/>
    <mergeCell ref="J918:K918"/>
    <mergeCell ref="J919:K919"/>
    <mergeCell ref="J920:K920"/>
    <mergeCell ref="J921:K921"/>
    <mergeCell ref="J922:K922"/>
    <mergeCell ref="J923:K923"/>
    <mergeCell ref="J924:K924"/>
    <mergeCell ref="J925:K925"/>
    <mergeCell ref="J926:K926"/>
    <mergeCell ref="J927:K927"/>
    <mergeCell ref="J928:K928"/>
    <mergeCell ref="F903:G903"/>
    <mergeCell ref="F904:G904"/>
    <mergeCell ref="F905:G905"/>
    <mergeCell ref="F906:G906"/>
    <mergeCell ref="F907:G907"/>
    <mergeCell ref="J929:K929"/>
    <mergeCell ref="J930:K930"/>
    <mergeCell ref="J931:K931"/>
    <mergeCell ref="J932:K932"/>
    <mergeCell ref="J933:K933"/>
    <mergeCell ref="J934:K934"/>
    <mergeCell ref="J935:K935"/>
    <mergeCell ref="J936:K936"/>
    <mergeCell ref="F922:G922"/>
    <mergeCell ref="F923:G923"/>
    <mergeCell ref="F924:G924"/>
    <mergeCell ref="F925:G925"/>
    <mergeCell ref="F926:G926"/>
    <mergeCell ref="F927:G927"/>
    <mergeCell ref="F928:G928"/>
    <mergeCell ref="F929:G929"/>
    <mergeCell ref="F936:G936"/>
    <mergeCell ref="F935:G935"/>
    <mergeCell ref="F934:G934"/>
    <mergeCell ref="F933:G933"/>
    <mergeCell ref="F932:G932"/>
    <mergeCell ref="F931:G931"/>
    <mergeCell ref="F930:G930"/>
    <mergeCell ref="J861:K861"/>
    <mergeCell ref="J862:K862"/>
    <mergeCell ref="J863:K863"/>
    <mergeCell ref="J864:K864"/>
    <mergeCell ref="J865:K865"/>
    <mergeCell ref="J866:K866"/>
    <mergeCell ref="J867:K867"/>
    <mergeCell ref="J868:K868"/>
    <mergeCell ref="J869:K869"/>
    <mergeCell ref="J870:K870"/>
    <mergeCell ref="J871:K871"/>
    <mergeCell ref="J872:K872"/>
    <mergeCell ref="F857:G857"/>
    <mergeCell ref="F858:G858"/>
    <mergeCell ref="F859:G859"/>
    <mergeCell ref="F860:G860"/>
    <mergeCell ref="F861:G861"/>
    <mergeCell ref="F862:G862"/>
    <mergeCell ref="F863:G863"/>
    <mergeCell ref="F864:G864"/>
    <mergeCell ref="F865:G865"/>
    <mergeCell ref="F866:G866"/>
    <mergeCell ref="F867:G867"/>
    <mergeCell ref="F868:G868"/>
    <mergeCell ref="F869:G869"/>
    <mergeCell ref="F870:G870"/>
    <mergeCell ref="F871:G871"/>
    <mergeCell ref="F872:G872"/>
    <mergeCell ref="J850:K850"/>
    <mergeCell ref="F856:G856"/>
    <mergeCell ref="F855:G855"/>
    <mergeCell ref="F854:G854"/>
    <mergeCell ref="F853:G853"/>
    <mergeCell ref="F852:G852"/>
    <mergeCell ref="F851:G851"/>
    <mergeCell ref="F850:G850"/>
    <mergeCell ref="F849:G849"/>
    <mergeCell ref="F848:G848"/>
    <mergeCell ref="F847:G847"/>
    <mergeCell ref="F846:G846"/>
    <mergeCell ref="F845:G845"/>
    <mergeCell ref="F844:G844"/>
    <mergeCell ref="F843:G843"/>
    <mergeCell ref="F842:G842"/>
    <mergeCell ref="F841:G841"/>
    <mergeCell ref="J852:K852"/>
    <mergeCell ref="J853:K853"/>
    <mergeCell ref="J854:K854"/>
    <mergeCell ref="J855:K855"/>
    <mergeCell ref="J856:K856"/>
    <mergeCell ref="J851:K851"/>
    <mergeCell ref="F838:G838"/>
    <mergeCell ref="F837:G837"/>
    <mergeCell ref="J837:K837"/>
    <mergeCell ref="J838:K838"/>
    <mergeCell ref="J839:K839"/>
    <mergeCell ref="F795:G795"/>
    <mergeCell ref="F794:G794"/>
    <mergeCell ref="F793:G793"/>
    <mergeCell ref="F792:G792"/>
    <mergeCell ref="F791:G791"/>
    <mergeCell ref="F790:G790"/>
    <mergeCell ref="F789:G789"/>
    <mergeCell ref="J808:K808"/>
    <mergeCell ref="J807:K807"/>
    <mergeCell ref="J806:K806"/>
    <mergeCell ref="J805:K805"/>
    <mergeCell ref="J804:K804"/>
    <mergeCell ref="J803:K803"/>
    <mergeCell ref="J802:K802"/>
    <mergeCell ref="J801:K801"/>
    <mergeCell ref="J800:K800"/>
    <mergeCell ref="J799:K799"/>
    <mergeCell ref="J798:K798"/>
    <mergeCell ref="F808:G808"/>
    <mergeCell ref="F807:G807"/>
    <mergeCell ref="F806:G806"/>
    <mergeCell ref="F805:G805"/>
    <mergeCell ref="F804:G804"/>
    <mergeCell ref="F803:G803"/>
    <mergeCell ref="F802:G802"/>
    <mergeCell ref="F801:G801"/>
    <mergeCell ref="J840:K840"/>
    <mergeCell ref="J841:K841"/>
    <mergeCell ref="J842:K842"/>
    <mergeCell ref="J843:K843"/>
    <mergeCell ref="J844:K844"/>
    <mergeCell ref="J845:K845"/>
    <mergeCell ref="J846:K846"/>
    <mergeCell ref="J847:K847"/>
    <mergeCell ref="J848:K848"/>
    <mergeCell ref="J849:K849"/>
    <mergeCell ref="F783:G783"/>
    <mergeCell ref="F782:G782"/>
    <mergeCell ref="F781:G781"/>
    <mergeCell ref="F780:G780"/>
    <mergeCell ref="F779:G779"/>
    <mergeCell ref="F778:G778"/>
    <mergeCell ref="F777:G777"/>
    <mergeCell ref="F839:G839"/>
    <mergeCell ref="J785:K785"/>
    <mergeCell ref="J786:K786"/>
    <mergeCell ref="J787:K787"/>
    <mergeCell ref="J788:K788"/>
    <mergeCell ref="J789:K789"/>
    <mergeCell ref="J790:K790"/>
    <mergeCell ref="J791:K791"/>
    <mergeCell ref="J792:K792"/>
    <mergeCell ref="J793:K793"/>
    <mergeCell ref="J794:K794"/>
    <mergeCell ref="J795:K795"/>
    <mergeCell ref="J796:K796"/>
    <mergeCell ref="J797:K797"/>
    <mergeCell ref="F788:G788"/>
    <mergeCell ref="F776:G776"/>
    <mergeCell ref="F775:G775"/>
    <mergeCell ref="F774:G774"/>
    <mergeCell ref="F773:G773"/>
    <mergeCell ref="F772:G772"/>
    <mergeCell ref="F771:G771"/>
    <mergeCell ref="J771:K771"/>
    <mergeCell ref="J772:K772"/>
    <mergeCell ref="J773:K773"/>
    <mergeCell ref="F800:G800"/>
    <mergeCell ref="F799:G799"/>
    <mergeCell ref="F798:G798"/>
    <mergeCell ref="F797:G797"/>
    <mergeCell ref="F796:G796"/>
    <mergeCell ref="J774:K774"/>
    <mergeCell ref="J775:K775"/>
    <mergeCell ref="J776:K776"/>
    <mergeCell ref="J777:K777"/>
    <mergeCell ref="J778:K778"/>
    <mergeCell ref="J779:K779"/>
    <mergeCell ref="J780:K780"/>
    <mergeCell ref="J781:K781"/>
    <mergeCell ref="J782:K782"/>
    <mergeCell ref="J783:K783"/>
    <mergeCell ref="J784:K784"/>
    <mergeCell ref="F787:G787"/>
    <mergeCell ref="F786:G786"/>
    <mergeCell ref="F998:G998"/>
    <mergeCell ref="F997:G997"/>
    <mergeCell ref="F996:G996"/>
    <mergeCell ref="F995:G995"/>
    <mergeCell ref="F994:G994"/>
    <mergeCell ref="F993:G993"/>
    <mergeCell ref="F992:G992"/>
    <mergeCell ref="F991:G991"/>
    <mergeCell ref="F990:G990"/>
    <mergeCell ref="F989:G989"/>
    <mergeCell ref="F988:G988"/>
    <mergeCell ref="F987:G987"/>
    <mergeCell ref="F986:G986"/>
    <mergeCell ref="F984:G984"/>
    <mergeCell ref="F985:G985"/>
    <mergeCell ref="F785:G785"/>
    <mergeCell ref="F784:G784"/>
    <mergeCell ref="F840:G840"/>
    <mergeCell ref="F908:G908"/>
    <mergeCell ref="F909:G909"/>
    <mergeCell ref="F910:G910"/>
    <mergeCell ref="F911:G911"/>
    <mergeCell ref="F912:G912"/>
    <mergeCell ref="F913:G913"/>
    <mergeCell ref="F914:G914"/>
    <mergeCell ref="F915:G915"/>
    <mergeCell ref="F916:G916"/>
    <mergeCell ref="F917:G917"/>
    <mergeCell ref="F918:G918"/>
    <mergeCell ref="F919:G919"/>
    <mergeCell ref="F920:G920"/>
    <mergeCell ref="F921:G921"/>
    <mergeCell ref="B361:L361"/>
    <mergeCell ref="B362:L362"/>
    <mergeCell ref="B363:L363"/>
    <mergeCell ref="B489:L491"/>
    <mergeCell ref="B554:L556"/>
    <mergeCell ref="B618:L620"/>
    <mergeCell ref="B682:L684"/>
    <mergeCell ref="B746:L748"/>
    <mergeCell ref="B810:L812"/>
    <mergeCell ref="B874:L876"/>
    <mergeCell ref="B938:L940"/>
    <mergeCell ref="B1002:L1004"/>
    <mergeCell ref="B1067:L1069"/>
    <mergeCell ref="B1131:L1133"/>
    <mergeCell ref="B1196:L1198"/>
    <mergeCell ref="B1259:L1261"/>
    <mergeCell ref="B206:L206"/>
    <mergeCell ref="F983:G983"/>
    <mergeCell ref="F982:G982"/>
    <mergeCell ref="F981:G981"/>
    <mergeCell ref="F980:G980"/>
    <mergeCell ref="F979:G979"/>
    <mergeCell ref="F978:G978"/>
    <mergeCell ref="F977:G977"/>
    <mergeCell ref="F976:G976"/>
    <mergeCell ref="F975:G975"/>
    <mergeCell ref="F974:G974"/>
    <mergeCell ref="F973:G973"/>
    <mergeCell ref="F972:G972"/>
    <mergeCell ref="F971:G971"/>
    <mergeCell ref="F1000:G1000"/>
    <mergeCell ref="F999:G999"/>
  </mergeCells>
  <printOptions horizontalCentered="1"/>
  <pageMargins left="0.25" right="0.25" top="0.25" bottom="0.25" header="0.3" footer="0.25"/>
  <pageSetup scale="71" fitToHeight="0" orientation="portrait" r:id="rId2"/>
  <headerFooter>
    <oddFooter xml:space="preserve">&amp;L&amp;"Arial,Regular"&amp;9
&amp;D     &amp;T 
&amp;C&amp;"Arial,Regular"&amp;9Note: Numbers on charts are within 1% due to rounding.
Sumexpen.xlsx
&amp;R&amp;9
&amp;"Arial,Regular"Page &amp;P of &amp;N
</oddFooter>
  </headerFooter>
  <rowBreaks count="23" manualBreakCount="23">
    <brk id="60" min="1" max="11" man="1"/>
    <brk id="124" min="1" max="11" man="1"/>
    <brk id="188" min="1" max="11" man="1"/>
    <brk id="251" min="1" max="11" man="1"/>
    <brk id="316" min="1" max="11" man="1"/>
    <brk id="380" min="1" max="11" man="1"/>
    <brk id="444" min="1" max="11" man="1"/>
    <brk id="508" min="1" max="11" man="1"/>
    <brk id="573" min="1" max="11" man="1"/>
    <brk id="637" min="1" max="11" man="1"/>
    <brk id="701" min="1" max="11" man="1"/>
    <brk id="765" min="1" max="11" man="1"/>
    <brk id="829" min="1" max="11" man="1"/>
    <brk id="893" min="1" max="11" man="1"/>
    <brk id="957" min="1" max="11" man="1"/>
    <brk id="1022" min="1" max="11" man="1"/>
    <brk id="1086" min="1" max="11" man="1"/>
    <brk id="1150" min="1" max="11" man="1"/>
    <brk id="1214" min="1" max="11" man="1"/>
    <brk id="1278" min="1" max="11" man="1"/>
    <brk id="1306" min="1" max="11" man="1"/>
    <brk id="1370" min="1" max="11" man="1"/>
    <brk id="1433" min="1" max="11" man="1"/>
  </rowBreaks>
  <drawing r:id="rId3"/>
  <legacyDrawing r:id="rId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B1:AK60"/>
  <sheetViews>
    <sheetView workbookViewId="0">
      <pane xSplit="1" ySplit="6" topLeftCell="B83" activePane="bottomRight" state="frozen"/>
      <selection pane="topRight" activeCell="B1" sqref="B1"/>
      <selection pane="bottomLeft" activeCell="A7" sqref="A7"/>
      <selection pane="bottomRight" activeCell="M35" sqref="M35"/>
    </sheetView>
  </sheetViews>
  <sheetFormatPr defaultColWidth="9.140625" defaultRowHeight="14.25"/>
  <cols>
    <col min="1" max="1" width="1.7109375" style="80" customWidth="1"/>
    <col min="2" max="2" width="34.7109375" style="80" bestFit="1" customWidth="1"/>
    <col min="3" max="10" width="13.7109375" style="80" customWidth="1"/>
    <col min="11" max="11" width="6.140625" style="80" bestFit="1" customWidth="1"/>
    <col min="12" max="16" width="9.140625" style="80"/>
    <col min="17" max="17" width="5" style="80" bestFit="1" customWidth="1"/>
    <col min="18" max="18" width="4.42578125" style="80" bestFit="1" customWidth="1"/>
    <col min="19" max="22" width="9.140625" style="80"/>
    <col min="23" max="23" width="16" style="80" bestFit="1" customWidth="1"/>
    <col min="24" max="24" width="9.140625" style="80"/>
    <col min="25" max="25" width="35.5703125" style="80" bestFit="1" customWidth="1"/>
    <col min="26" max="27" width="12" style="80" bestFit="1" customWidth="1"/>
    <col min="28" max="29" width="13.140625" style="80" bestFit="1" customWidth="1"/>
    <col min="30" max="30" width="12" style="80" bestFit="1" customWidth="1"/>
    <col min="31" max="31" width="9.140625" style="80"/>
    <col min="32" max="32" width="35.5703125" style="80" bestFit="1" customWidth="1"/>
    <col min="33" max="34" width="12" style="80" bestFit="1" customWidth="1"/>
    <col min="35" max="36" width="13.140625" style="80" bestFit="1" customWidth="1"/>
    <col min="37" max="37" width="12" style="80" bestFit="1" customWidth="1"/>
    <col min="38" max="16384" width="9.140625" style="80"/>
  </cols>
  <sheetData>
    <row r="1" spans="2:37">
      <c r="B1" s="79"/>
      <c r="C1" s="2"/>
      <c r="G1" s="46"/>
      <c r="H1" s="81" t="s">
        <v>164</v>
      </c>
      <c r="I1" s="46"/>
      <c r="J1" s="82" t="str">
        <f>"USD #"&amp;[1]OPEN!$B$4</f>
        <v>USD #225</v>
      </c>
      <c r="M1" s="2"/>
      <c r="N1" s="2"/>
      <c r="O1" s="2"/>
      <c r="Q1" s="2" t="str">
        <f>RIGHT(SUMEXPEN!I4,4)</f>
        <v>2026</v>
      </c>
      <c r="R1" s="2"/>
      <c r="S1" s="2"/>
      <c r="T1" s="2"/>
      <c r="U1" s="2"/>
      <c r="V1" s="2"/>
      <c r="W1" s="2"/>
      <c r="X1" s="2"/>
      <c r="Y1" s="2"/>
      <c r="Z1" s="2"/>
      <c r="AA1" s="2"/>
      <c r="AB1" s="2"/>
      <c r="AC1" s="2"/>
      <c r="AD1" s="2"/>
      <c r="AE1" s="2"/>
      <c r="AF1" s="2"/>
      <c r="AG1" s="2"/>
      <c r="AH1" s="2"/>
      <c r="AI1" s="2"/>
      <c r="AJ1" s="2"/>
      <c r="AK1" s="2"/>
    </row>
    <row r="2" spans="2:37" ht="18">
      <c r="B2" s="83" t="str">
        <f>"Sources of Revenue and Proposed Budget for "&amp;Q1-1&amp;"-"&amp;Q1</f>
        <v>Sources of Revenue and Proposed Budget for 2025-2026</v>
      </c>
      <c r="C2" s="84"/>
      <c r="D2" s="84"/>
      <c r="E2" s="84"/>
      <c r="F2" s="84"/>
      <c r="G2" s="84"/>
      <c r="H2" s="84"/>
      <c r="I2" s="84"/>
      <c r="J2" s="84"/>
    </row>
    <row r="3" spans="2:37">
      <c r="B3" s="5"/>
      <c r="C3" s="5"/>
      <c r="D3" s="5"/>
      <c r="E3" s="5"/>
      <c r="F3" s="5"/>
      <c r="G3" s="5"/>
      <c r="H3" s="5"/>
      <c r="I3" s="5"/>
      <c r="J3" s="5"/>
    </row>
    <row r="4" spans="2:37">
      <c r="B4" s="867" t="s">
        <v>105</v>
      </c>
      <c r="C4" s="85" t="str">
        <f>Q1-1&amp;"-"&amp;Q1</f>
        <v>2025-2026</v>
      </c>
      <c r="D4" s="86"/>
      <c r="E4" s="563" t="str">
        <f>"Estimated Sources of Revenue - "&amp;Q1-1&amp;"-"&amp;Q1</f>
        <v>Estimated Sources of Revenue - 2025-2026</v>
      </c>
      <c r="F4" s="564"/>
      <c r="G4" s="564"/>
      <c r="H4" s="564"/>
      <c r="I4" s="564"/>
      <c r="J4" s="87" t="s">
        <v>100</v>
      </c>
      <c r="K4" s="88"/>
      <c r="M4" s="89"/>
      <c r="Y4" s="90"/>
      <c r="Z4" s="63" t="str">
        <f>"Sources of Revenue--"&amp;[1]OpenData!$O$4</f>
        <v>Sources of Revenue--2024-2025</v>
      </c>
      <c r="AA4" s="7"/>
      <c r="AB4" s="7"/>
      <c r="AC4" s="7"/>
      <c r="AD4" s="8"/>
      <c r="AF4" s="90"/>
      <c r="AG4" s="63" t="str">
        <f>"Sources of Revenue--"&amp;[1]OpenData!$N$4</f>
        <v>Sources of Revenue--2023-2024</v>
      </c>
      <c r="AH4" s="7"/>
      <c r="AI4" s="7"/>
      <c r="AJ4" s="7"/>
      <c r="AK4" s="8"/>
    </row>
    <row r="5" spans="2:37">
      <c r="B5" s="868"/>
      <c r="C5" s="91" t="s">
        <v>101</v>
      </c>
      <c r="D5" s="92" t="str">
        <f>"July 1, "&amp;[1]OpenData!$Q$5</f>
        <v>July 1, 2025</v>
      </c>
      <c r="E5" s="871" t="s">
        <v>102</v>
      </c>
      <c r="F5" s="871" t="s">
        <v>103</v>
      </c>
      <c r="G5" s="95" t="s">
        <v>104</v>
      </c>
      <c r="H5" s="95"/>
      <c r="I5" s="95"/>
      <c r="J5" s="93" t="str">
        <f>"July 1, "&amp; [1]OpenData!$S$5</f>
        <v>July 1, 2026</v>
      </c>
      <c r="K5" s="88"/>
      <c r="Y5" s="94"/>
      <c r="Z5" s="9" t="s">
        <v>102</v>
      </c>
      <c r="AA5" s="10" t="s">
        <v>103</v>
      </c>
      <c r="AB5" s="11" t="s">
        <v>104</v>
      </c>
      <c r="AC5" s="12"/>
      <c r="AD5" s="13"/>
      <c r="AF5" s="94"/>
      <c r="AG5" s="9" t="s">
        <v>102</v>
      </c>
      <c r="AH5" s="10" t="s">
        <v>103</v>
      </c>
      <c r="AI5" s="11" t="s">
        <v>104</v>
      </c>
      <c r="AJ5" s="12"/>
      <c r="AK5" s="13"/>
    </row>
    <row r="6" spans="2:37">
      <c r="B6" s="869"/>
      <c r="C6" s="91" t="s">
        <v>106</v>
      </c>
      <c r="D6" s="91" t="s">
        <v>107</v>
      </c>
      <c r="E6" s="872"/>
      <c r="F6" s="872"/>
      <c r="G6" s="95" t="s">
        <v>108</v>
      </c>
      <c r="H6" s="95" t="s">
        <v>68</v>
      </c>
      <c r="I6" s="95" t="s">
        <v>109</v>
      </c>
      <c r="J6" s="96" t="s">
        <v>107</v>
      </c>
      <c r="K6" s="88"/>
      <c r="W6" s="89"/>
      <c r="Y6" s="56" t="s">
        <v>105</v>
      </c>
      <c r="Z6" s="31"/>
      <c r="AA6" s="32"/>
      <c r="AB6" s="15" t="s">
        <v>108</v>
      </c>
      <c r="AC6" s="14" t="s">
        <v>68</v>
      </c>
      <c r="AD6" s="14" t="s">
        <v>109</v>
      </c>
      <c r="AF6" s="56" t="s">
        <v>105</v>
      </c>
      <c r="AG6" s="31"/>
      <c r="AH6" s="32"/>
      <c r="AI6" s="15" t="s">
        <v>108</v>
      </c>
      <c r="AJ6" s="14" t="s">
        <v>68</v>
      </c>
      <c r="AK6" s="14" t="s">
        <v>109</v>
      </c>
    </row>
    <row r="7" spans="2:37">
      <c r="B7" s="97" t="s">
        <v>33</v>
      </c>
      <c r="C7" s="98">
        <f>[1]CO99!$H$14</f>
        <v>1229124</v>
      </c>
      <c r="D7" s="98">
        <f>IF(ISERROR([1]C06!$E$8),0,[1]C06!$E$8)</f>
        <v>0</v>
      </c>
      <c r="E7" s="98">
        <f>IF(ISERROR(SUM([1]C06!$E$25:$E$27)),0,(SUM([1]C06!$E$25:$E$27)))</f>
        <v>1229124</v>
      </c>
      <c r="F7" s="98">
        <f>IF(ISERROR(SUM([1]C06!$E$29:$E$29)),0,SUM([1]C06!$E$29:$E$29))</f>
        <v>0</v>
      </c>
      <c r="G7" s="99"/>
      <c r="H7" s="99"/>
      <c r="I7" s="100">
        <f>[1]C06!$E$14+[1]C06!$E$15+[1]C06!$E$16</f>
        <v>0</v>
      </c>
      <c r="J7" s="99">
        <v>0</v>
      </c>
      <c r="K7" s="88"/>
      <c r="Y7" s="16" t="s">
        <v>33</v>
      </c>
      <c r="Z7" s="64">
        <f>SUM([1]C06!$D$25:$D$27)</f>
        <v>1141393</v>
      </c>
      <c r="AA7" s="71">
        <f>SUM([1]C06!$D$29:$D$29)</f>
        <v>0</v>
      </c>
      <c r="AB7" s="17">
        <v>0</v>
      </c>
      <c r="AC7" s="19">
        <v>0</v>
      </c>
      <c r="AD7" s="64">
        <f>[1]C06!$D$9+[1]C06!$D$14+[1]C06!$D$15+[1]C06!$D$16+[1]C06!$D$17+[1]C06!$D$18+[1]C06!$D$20+[1]C06!$D$21+[1]C06!$D$22+ [1]C06!$D$23</f>
        <v>0</v>
      </c>
      <c r="AF7" s="16" t="s">
        <v>33</v>
      </c>
      <c r="AG7" s="64">
        <f>(SUM([1]C06!$C$25:$C$27))</f>
        <v>1201910</v>
      </c>
      <c r="AH7" s="71">
        <f>SUM([1]C06!$C$29:$C$29)</f>
        <v>0</v>
      </c>
      <c r="AI7" s="17">
        <v>0</v>
      </c>
      <c r="AJ7" s="19">
        <v>0</v>
      </c>
      <c r="AK7" s="64">
        <f>[1]C06!$C$9+[1]C06!$C$14+[1]C06!$C$15+[1]C06!$C$16+[1]C06!$C$17+[1]C06!$C$18+[1]C06!$C$20+[1]C06!$C$21+[1]C06!$C$22+[1]C06!$C$23</f>
        <v>0</v>
      </c>
    </row>
    <row r="8" spans="2:37">
      <c r="B8" s="16" t="s">
        <v>35</v>
      </c>
      <c r="C8" s="101">
        <f>[1]CO99!$H$15</f>
        <v>437737</v>
      </c>
      <c r="D8" s="101">
        <f>IF(ISERROR([1]C08!$E$9),0,[1]C08!$E$9)</f>
        <v>0</v>
      </c>
      <c r="E8" s="101">
        <f>IF(ISERROR(SUM([1]C08!$E$28:$E$28)),0,SUM([1]C08!$E$28:$E$28))</f>
        <v>0</v>
      </c>
      <c r="F8" s="102"/>
      <c r="G8" s="102"/>
      <c r="H8" s="101">
        <f>[1]C08!$E$30</f>
        <v>0</v>
      </c>
      <c r="I8" s="103">
        <f>IF(ISERROR([1]C08!$E$33),0,[1]C08!$E$17+[1]C08!$E$18+[1]C08!$E$21+[1]C08!$E$23+[1]C08!$E$24+[1]C08!$E$25+[1]C08!$E$26+[1]C08!$E$33)</f>
        <v>437737</v>
      </c>
      <c r="J8" s="102"/>
      <c r="K8" s="88"/>
      <c r="M8" s="104"/>
      <c r="Y8" s="16" t="s">
        <v>35</v>
      </c>
      <c r="Z8" s="65">
        <f>SUM([1]C08!$D$28:$D$28)</f>
        <v>0</v>
      </c>
      <c r="AA8" s="20"/>
      <c r="AB8" s="21"/>
      <c r="AC8" s="64">
        <f>SUM([1]C08!$D$30:$D$30)</f>
        <v>0</v>
      </c>
      <c r="AD8" s="72">
        <f>[1]C08!$D$10+[1]C08!$D$16+[1]C08!$D$17+[1]C08!$D$18+[1]C08!$D$19+[1]C08!$D$20+[1]C08!$D$21+[1]C08!$D$23+[1]C08!$D$24+[1]C08!$D$25+[1]C08!$D$26</f>
        <v>351303</v>
      </c>
      <c r="AF8" s="16" t="s">
        <v>35</v>
      </c>
      <c r="AG8" s="65">
        <f>SUM([1]C08!$C$28:$C$28)</f>
        <v>0</v>
      </c>
      <c r="AH8" s="20"/>
      <c r="AI8" s="21"/>
      <c r="AJ8" s="64">
        <f>SUM([1]C08!$C$30:$C$30)</f>
        <v>0</v>
      </c>
      <c r="AK8" s="72">
        <f>[1]C08!$C$10+[1]C08!$C$15+[1]C08!$C$16+[1]C08!$C$18+[1]C08!$C$19+[1]C08!$C$20+[1]C08!$C$21+[1]C08!$C$23+[1]C08!$C$24+[1]C08!$C$25+[1]C08!$C$26</f>
        <v>380693</v>
      </c>
    </row>
    <row r="9" spans="2:37">
      <c r="B9" s="105" t="s">
        <v>63</v>
      </c>
      <c r="C9" s="98">
        <f>[1]CO99!$H$18</f>
        <v>0</v>
      </c>
      <c r="D9" s="98">
        <f>IF(ISERROR([1]C010!$E$9),0,[1]C010!$E$9)</f>
        <v>0</v>
      </c>
      <c r="E9" s="98">
        <f>IF(ISERROR([1]C010!$E$38),0,[1]C010!$E$38)</f>
        <v>0</v>
      </c>
      <c r="F9" s="98">
        <f>IF(ISERROR([1]C010!$E$41),0,[1]C010!$E$41)</f>
        <v>0</v>
      </c>
      <c r="G9" s="99">
        <f>IF(ISERROR([1]C010!$E$22),0,[1]C010!$E$22)</f>
        <v>0</v>
      </c>
      <c r="H9" s="98">
        <f>IF(ISERROR([1]C010!$E$44),0,[1]C010!$E$44+[1]C010!$E$46)</f>
        <v>0</v>
      </c>
      <c r="I9" s="106">
        <f>IF(ISERROR([1]C010!$E$17),0,[1]C010!$E$17+[1]C010!$E$18+[1]C010!$E$19+[1]C010!$E$20+[1]C010!$E$24+[1]C010!$E$26+[1]C010!$E$29+[1]C010!$E$31+[1]C010!$E$33+[1]C010!$E$35)</f>
        <v>0</v>
      </c>
      <c r="J9" s="99">
        <f>[1]C010!$E$54</f>
        <v>0</v>
      </c>
      <c r="K9" s="88"/>
      <c r="M9" s="89"/>
      <c r="Y9" s="16" t="s">
        <v>63</v>
      </c>
      <c r="Z9" s="66">
        <f>[1]C010!$D$38</f>
        <v>0</v>
      </c>
      <c r="AA9" s="69">
        <f>[1]C010!$D$41</f>
        <v>0</v>
      </c>
      <c r="AB9" s="69">
        <f>[1]C010!$D$22</f>
        <v>0</v>
      </c>
      <c r="AC9" s="67">
        <f>[1]C010!$D$44+[1]C010!$D$46+[1]C010!$D$48</f>
        <v>0</v>
      </c>
      <c r="AD9" s="72">
        <f>[1]C010!$D$10+[1]C010!$D$16+[1]C010!$D$17+[1]C010!$D$19+[1]C010!$D$20+[1]C010!$D$24+[1]C010!$D$26+[1]C010!$D$29+[1]C010!$D$31+[1]C010!$D$33+[1]C010!$D$35</f>
        <v>0</v>
      </c>
      <c r="AF9" s="16" t="s">
        <v>63</v>
      </c>
      <c r="AG9" s="66">
        <f>[1]C010!$C$38</f>
        <v>0</v>
      </c>
      <c r="AH9" s="69">
        <f>[1]C010!$C$41</f>
        <v>0</v>
      </c>
      <c r="AI9" s="69">
        <f>[1]C010!$C$22</f>
        <v>0</v>
      </c>
      <c r="AJ9" s="67">
        <f>[1]C010!$C$44+[1]C010!$C$46+[1]C010!$C$48</f>
        <v>0</v>
      </c>
      <c r="AK9" s="72">
        <f>[1]C010!$C$10+[1]C010!$C$15+[1]C010!$C$16+[1]C010!$C$19+[1]C010!$C$20+[1]C010!$C$24+[1]C010!$C$26+[1]C010!$C$29+[1]C010!$C$31+[1]C010!$C$33+[1]C010!$C$35</f>
        <v>0</v>
      </c>
    </row>
    <row r="10" spans="2:37">
      <c r="B10" s="16" t="s">
        <v>281</v>
      </c>
      <c r="C10" s="101">
        <f>[1]CO99!$H$19</f>
        <v>5000</v>
      </c>
      <c r="D10" s="101">
        <f>IF(ISERROR([1]C011!$E$9),0,[1]C011!$E$9)</f>
        <v>0</v>
      </c>
      <c r="E10" s="102"/>
      <c r="F10" s="101">
        <f>IF(ISERROR([1]C011!$E$23),0,[1]C011!$E$23)</f>
        <v>0</v>
      </c>
      <c r="G10" s="107">
        <f>IF(ISERROR([1]C011!$E$18),0,[1]C011!$E$18)</f>
        <v>0</v>
      </c>
      <c r="H10" s="101">
        <f>IF(ISERROR([1]C011!$E$25),0,[1]C011!$E$25+[1]C011!$E$26)</f>
        <v>5000</v>
      </c>
      <c r="I10" s="103">
        <f>SUM([1]C011!$E$15:$E$17,[1]C011!$E$21)</f>
        <v>0</v>
      </c>
      <c r="J10" s="107">
        <f>[1]C011!$E$30</f>
        <v>0</v>
      </c>
      <c r="K10" s="88"/>
      <c r="Y10" s="16" t="s">
        <v>38</v>
      </c>
      <c r="Z10" s="18"/>
      <c r="AA10" s="72">
        <f>[1]C011!$D$23</f>
        <v>0</v>
      </c>
      <c r="AB10" s="69">
        <f>[1]C011!$D$18</f>
        <v>0</v>
      </c>
      <c r="AC10" s="67">
        <f>[1]C011!$D$25+[1]C011!$D$26+[1]C011!$D$27</f>
        <v>5000</v>
      </c>
      <c r="AD10" s="72">
        <f>SUM([1]C011!$D$10,[1]C011!$D$15:$D$17,[1]C011!$D$19,[1]C011!$D$21)</f>
        <v>0</v>
      </c>
      <c r="AF10" s="16" t="s">
        <v>38</v>
      </c>
      <c r="AG10" s="18"/>
      <c r="AH10" s="72">
        <f>[1]C011!$C$23</f>
        <v>0</v>
      </c>
      <c r="AI10" s="69">
        <f>[1]C011!$C$18</f>
        <v>0</v>
      </c>
      <c r="AJ10" s="67">
        <f>[1]C011!$C$25+[1]C011!$C$26+[1]C011!$C$27</f>
        <v>10000</v>
      </c>
      <c r="AK10" s="72">
        <f>SUM([1]C011!$C$10,[1]C011!$C$15:$C$17,[1]C011!$C$19,[1]C011!$C$21)</f>
        <v>0</v>
      </c>
    </row>
    <row r="11" spans="2:37">
      <c r="B11" s="105" t="s">
        <v>64</v>
      </c>
      <c r="C11" s="98">
        <f>[1]CO99!$H$20</f>
        <v>0</v>
      </c>
      <c r="D11" s="98">
        <f>IF(ISERROR([1]C012!$E$9),0,[1]C012!$E$9)</f>
        <v>0</v>
      </c>
      <c r="E11" s="99"/>
      <c r="F11" s="99"/>
      <c r="G11" s="99">
        <f>IF(ISERROR([1]C012!$E$16),0,[1]C012!$E$16)</f>
        <v>0</v>
      </c>
      <c r="H11" s="98">
        <f>IF(ISERROR([1]C012!$E$21),0,[1]C012!$E$21+[1]C012!$E$22)</f>
        <v>0</v>
      </c>
      <c r="I11" s="98">
        <f>IF(ISERROR([1]C012!$E$15),0,[1]C012!$E$15+[1]C012!$E$18+[1]C012!$E$19)</f>
        <v>0</v>
      </c>
      <c r="J11" s="99">
        <f>[1]C012!$E$26</f>
        <v>0</v>
      </c>
      <c r="K11" s="88"/>
      <c r="Y11" s="16" t="s">
        <v>64</v>
      </c>
      <c r="Z11" s="23"/>
      <c r="AA11" s="24"/>
      <c r="AB11" s="75">
        <f>[1]C012!$D$16</f>
        <v>0</v>
      </c>
      <c r="AC11" s="67">
        <f>[1]C012!$D$21+[1]C012!$D$22+[1]C012!$D$23</f>
        <v>0</v>
      </c>
      <c r="AD11" s="64">
        <f>[1]C012!$D$10+[1]C012!$D$15+[1]C012!$D$18+[1]C012!$D$19</f>
        <v>0</v>
      </c>
      <c r="AF11" s="16" t="s">
        <v>64</v>
      </c>
      <c r="AG11" s="23"/>
      <c r="AH11" s="24"/>
      <c r="AI11" s="75">
        <f>[1]C012!$C$16</f>
        <v>0</v>
      </c>
      <c r="AJ11" s="67">
        <f>[1]C012!$C$21+[1]C012!$C$22+[1]C012!$C$23</f>
        <v>0</v>
      </c>
      <c r="AK11" s="64">
        <f>[1]C012!$C$10+[1]C012!$C$15+[1]C012!$C$18+[1]C012!$C$19</f>
        <v>0</v>
      </c>
    </row>
    <row r="12" spans="2:37">
      <c r="B12" s="16" t="s">
        <v>277</v>
      </c>
      <c r="C12" s="101">
        <f>[1]CO99!$H$21</f>
        <v>275674</v>
      </c>
      <c r="D12" s="101">
        <f>IF(ISERROR([1]C013!$E$9),0,[1]C013!$E$9)</f>
        <v>118243</v>
      </c>
      <c r="E12" s="102"/>
      <c r="F12" s="101">
        <f>IF(ISERROR([1]C013!$E$23),0,[1]C013!$E$23)</f>
        <v>0</v>
      </c>
      <c r="G12" s="107">
        <f>IF(ISERROR([1]C013!$E$18),0,[1]C013!$E$18)</f>
        <v>0</v>
      </c>
      <c r="H12" s="101">
        <f>IF(ISERROR([1]C013!$E$25),0,[1]C013!$E$25+[1]C013!$E$26)</f>
        <v>157431</v>
      </c>
      <c r="I12" s="103">
        <f>SUM([1]C013!$E$15:$E$17,[1]C013!$E$21)</f>
        <v>0</v>
      </c>
      <c r="J12" s="107">
        <f>[1]C013!$E$30</f>
        <v>0</v>
      </c>
      <c r="K12" s="88"/>
      <c r="Y12" s="16" t="s">
        <v>277</v>
      </c>
      <c r="Z12" s="25"/>
      <c r="AA12" s="73">
        <f>[1]C013!$D$23</f>
        <v>0</v>
      </c>
      <c r="AB12" s="69">
        <f>[1]C013!$D$18</f>
        <v>0</v>
      </c>
      <c r="AC12" s="67">
        <f>[1]C013!$D$25+[1]C013!$D$26+[1]C013!$D$27</f>
        <v>158852</v>
      </c>
      <c r="AD12" s="72">
        <f>SUM([1]C013!$D$10, [1]C013!$D$15:$D$17,[1]C013!$D$19,[1]C013!$D$21)</f>
        <v>0</v>
      </c>
      <c r="AF12" s="16" t="s">
        <v>277</v>
      </c>
      <c r="AG12" s="25"/>
      <c r="AH12" s="73">
        <f>[1]C013!$C$23</f>
        <v>0</v>
      </c>
      <c r="AI12" s="69">
        <f>[1]C013!$C$18</f>
        <v>0</v>
      </c>
      <c r="AJ12" s="67">
        <f>[1]C013!$C$25+[1]C013!$C$26+[1]C013!$C$27</f>
        <v>133004</v>
      </c>
      <c r="AK12" s="72">
        <f>SUM([1]C013!$C$10, [1]C013!$C$15:$C$17,[1]C013!$C$19,[1]C013!$C$21)</f>
        <v>0</v>
      </c>
    </row>
    <row r="13" spans="2:37">
      <c r="B13" s="105" t="s">
        <v>39</v>
      </c>
      <c r="C13" s="98">
        <f>[1]CO99!$H$22</f>
        <v>10350</v>
      </c>
      <c r="D13" s="98">
        <f>IF(ISERROR([1]C014!$E$9),0,[1]C014!$E$9)</f>
        <v>7995</v>
      </c>
      <c r="E13" s="98"/>
      <c r="F13" s="98">
        <f>IF(ISERROR([1]C014!$E$17),0,SUM([1]C014!$E$17+[1]C014!$E$18))</f>
        <v>0</v>
      </c>
      <c r="G13" s="99">
        <f>IF(ISERROR([1]C014!$E$14),0,[1]C014!$E$14)</f>
        <v>0</v>
      </c>
      <c r="H13" s="98">
        <f>IF(ISERROR([1]C014!$E$20),0,[1]C014!$E$20+[1]C014!$E$21)</f>
        <v>5965</v>
      </c>
      <c r="I13" s="98">
        <f>IF(ISERROR([1]C014!$E$15),0,[1]C014!$E$15)</f>
        <v>0</v>
      </c>
      <c r="J13" s="99">
        <f>[1]C014!$E$25</f>
        <v>3610</v>
      </c>
      <c r="K13" s="88"/>
      <c r="Y13" s="16" t="s">
        <v>39</v>
      </c>
      <c r="Z13" s="23"/>
      <c r="AA13" s="74">
        <f>[1]C014!$D$17+[1]C014!$D$18</f>
        <v>0</v>
      </c>
      <c r="AB13" s="72">
        <f>[1]C014!$D$14</f>
        <v>0</v>
      </c>
      <c r="AC13" s="64">
        <f>[1]C014!$D$20+[1]C014!$D$21+[1]C014!$D$22</f>
        <v>5045</v>
      </c>
      <c r="AD13" s="64">
        <f>[1]C014!$D$10+[1]C014!$D$15</f>
        <v>0</v>
      </c>
      <c r="AF13" s="16" t="s">
        <v>39</v>
      </c>
      <c r="AG13" s="23"/>
      <c r="AH13" s="74">
        <f>[1]C014!$C$17+[1]C014!$C$18</f>
        <v>0</v>
      </c>
      <c r="AI13" s="72">
        <f>[1]C014!$C$14</f>
        <v>0</v>
      </c>
      <c r="AJ13" s="64">
        <f>[1]C014!$C$20+[1]C014!$C$21+[1]C014!$C$22</f>
        <v>6768</v>
      </c>
      <c r="AK13" s="64">
        <f>[1]C014!$C$10+[1]C014!$C$15</f>
        <v>0</v>
      </c>
    </row>
    <row r="14" spans="2:37">
      <c r="B14" s="16" t="s">
        <v>40</v>
      </c>
      <c r="C14" s="101">
        <f>[1]CO99!$H$23</f>
        <v>0</v>
      </c>
      <c r="D14" s="101">
        <f>IF(ISERROR([1]C015!$E$9),0,[1]C015!$E$9)</f>
        <v>0</v>
      </c>
      <c r="E14" s="102"/>
      <c r="F14" s="102"/>
      <c r="G14" s="101">
        <f>IF(ISERROR([1]C015!$E$17),0,[1]C015!$E$17)</f>
        <v>0</v>
      </c>
      <c r="H14" s="101">
        <f>IF(ISERROR([1]C015!$E$21),0,[1]C015!$E$21+[1]C015!$E$22)</f>
        <v>0</v>
      </c>
      <c r="I14" s="101">
        <f>IF(ISERROR([1]C015!$E$15),0,[1]C015!$E$15+[1]C015!$E$16+[1]C015!$E$19)</f>
        <v>0</v>
      </c>
      <c r="J14" s="107">
        <f>[1]C015!$E$26</f>
        <v>0</v>
      </c>
      <c r="K14" s="88"/>
      <c r="Y14" s="16" t="s">
        <v>40</v>
      </c>
      <c r="Z14" s="23"/>
      <c r="AA14" s="19"/>
      <c r="AB14" s="72">
        <f>[1]C015!$D$17</f>
        <v>0</v>
      </c>
      <c r="AC14" s="64">
        <f>[1]C015!$D$21+[1]C015!$D$22+[1]C015!$D$23</f>
        <v>0</v>
      </c>
      <c r="AD14" s="64">
        <f>[1]C015!$D$10+[1]C015!$D$15+[1]C015!$D$16+[1]C015!$D$19</f>
        <v>0</v>
      </c>
      <c r="AF14" s="16" t="s">
        <v>40</v>
      </c>
      <c r="AG14" s="23"/>
      <c r="AH14" s="19"/>
      <c r="AI14" s="72">
        <f>[1]C015!$C$17</f>
        <v>0</v>
      </c>
      <c r="AJ14" s="64">
        <f>[1]C015!$C$21+[1]C015!$C$22+[1]C015!$C$23</f>
        <v>0</v>
      </c>
      <c r="AK14" s="64">
        <f>[1]C015!$C$10+[1]C015!$C$15+[1]C015!$C$16+[1]C015!$C$19</f>
        <v>0</v>
      </c>
    </row>
    <row r="15" spans="2:37">
      <c r="B15" s="105" t="s">
        <v>41</v>
      </c>
      <c r="C15" s="98">
        <f>[1]CO99!$H$24</f>
        <v>317014</v>
      </c>
      <c r="D15" s="98">
        <f>IF(ISERROR([1]C016!$E$9),0,[1]C016!$E$9)</f>
        <v>575323</v>
      </c>
      <c r="E15" s="98">
        <f>IF(ISERROR([1]C016!$E$36),0,[1]C016!$E$36)</f>
        <v>0</v>
      </c>
      <c r="F15" s="98">
        <f>IF(ISERROR([1]C016!$E$38),0,[1]C016!$E$38+[1]C016!$E$40)</f>
        <v>0</v>
      </c>
      <c r="G15" s="98">
        <f>IF(ISERROR([1]C016!$E$20),0,[1]C016!$E$20)</f>
        <v>0</v>
      </c>
      <c r="H15" s="98">
        <f>IF(ISERROR([1]C016!$E$42),0,[1]C016!$E$42)</f>
        <v>0</v>
      </c>
      <c r="I15" s="98">
        <f>IF(ISERROR([1]C016!$E$17),0,[1]C016!$E$17+[1]C016!$E$18+[1]C016!$E$19+[1]C016!$E$22+[1]C016!$E$25+[1]C016!$E$27+[1]C016!$E$29+[1]C016!$E$31+[1]C016!$E$33)</f>
        <v>155270</v>
      </c>
      <c r="J15" s="99">
        <f>[1]C016!$E$47</f>
        <v>413579</v>
      </c>
      <c r="K15" s="88"/>
      <c r="Y15" s="16" t="s">
        <v>41</v>
      </c>
      <c r="Z15" s="67">
        <f>[1]C016!$D$36</f>
        <v>0</v>
      </c>
      <c r="AA15" s="75">
        <f>[1]C016!$D$38+[1]C016!$D$40</f>
        <v>0</v>
      </c>
      <c r="AB15" s="72">
        <f>[1]C016!$D$20</f>
        <v>54819</v>
      </c>
      <c r="AC15" s="64">
        <f>[1]C016!$D$42</f>
        <v>0</v>
      </c>
      <c r="AD15" s="64">
        <f>[1]C016!$D$10+[1]C016!$D$16+[1]C016!$D$17+[1]C016!$D$19+[1]C016!$D$22+[1]C016!$D$25+[1]C016!$D$27+[1]C016!$D$29+[1]C016!$D$31+[1]C016!$D$33</f>
        <v>437977</v>
      </c>
      <c r="AF15" s="16" t="s">
        <v>41</v>
      </c>
      <c r="AG15" s="67">
        <f>[1]C016!$C$36</f>
        <v>0</v>
      </c>
      <c r="AH15" s="75">
        <f>[1]C016!$C$38+[1]C016!$C$40</f>
        <v>0</v>
      </c>
      <c r="AI15" s="72">
        <f>[1]C016!$C$20</f>
        <v>0</v>
      </c>
      <c r="AJ15" s="64">
        <f>[1]C016!$C$42</f>
        <v>0</v>
      </c>
      <c r="AK15" s="64">
        <f>[1]C016!$C$10+[1]C016!$C$15+[1]C016!$C$16+[1]C016!$C$19+[1]C016!$C$22+[1]C016!$C$25+[1]C016!$C$27+[1]C016!$C$29+[1]C016!$C$31+[1]C016!$C$33</f>
        <v>329954</v>
      </c>
    </row>
    <row r="16" spans="2:37">
      <c r="B16" s="16" t="s">
        <v>70</v>
      </c>
      <c r="C16" s="101">
        <f>[1]CO99!$H$25</f>
        <v>0</v>
      </c>
      <c r="D16" s="101">
        <f>IF(ISERROR([1]C018!$E$9),0,[1]C018!$E$9)</f>
        <v>0</v>
      </c>
      <c r="E16" s="101">
        <f>IF(ISERROR([1]C018!$E$16),0,[1]C018!$E$16+[1]C018!$E$17)</f>
        <v>0</v>
      </c>
      <c r="F16" s="101">
        <f>[1]C018!$E$19</f>
        <v>0</v>
      </c>
      <c r="G16" s="107">
        <f>IF(ISERROR([1]C018!$E$13),0,[1]C018!$E$13)</f>
        <v>0</v>
      </c>
      <c r="H16" s="101">
        <f>IF(ISERROR([1]C018!$E$21),0,[1]C018!$E$21+[1]C018!$E$22)</f>
        <v>0</v>
      </c>
      <c r="I16" s="101">
        <f>IF(ISERROR([1]C018!$E$14),0,[1]C018!$E$14)</f>
        <v>0</v>
      </c>
      <c r="J16" s="107">
        <f>[1]C018!$E$26</f>
        <v>0</v>
      </c>
      <c r="K16" s="88"/>
      <c r="Y16" s="16" t="s">
        <v>70</v>
      </c>
      <c r="Z16" s="68">
        <f>[1]C018!$D$16+[1]C018!$D$17</f>
        <v>0</v>
      </c>
      <c r="AA16" s="64">
        <f>[1]C018!$D$19</f>
        <v>0</v>
      </c>
      <c r="AB16" s="64">
        <f>[1]C018!$D$13</f>
        <v>0</v>
      </c>
      <c r="AC16" s="64">
        <f>[1]C018!$D$21+[1]C018!$D$22+[1]C018!$D$23</f>
        <v>0</v>
      </c>
      <c r="AD16" s="64">
        <f>[1]C018!$D$10+[1]C018!$D$14</f>
        <v>0</v>
      </c>
      <c r="AF16" s="16" t="s">
        <v>70</v>
      </c>
      <c r="AG16" s="68">
        <f>[1]C018!$C$16+[1]C018!$C$17</f>
        <v>0</v>
      </c>
      <c r="AH16" s="64">
        <f>[1]C018!$D$19</f>
        <v>0</v>
      </c>
      <c r="AI16" s="64">
        <f>[1]C018!$C$13</f>
        <v>0</v>
      </c>
      <c r="AJ16" s="64">
        <f>[1]C018!$C$21+[1]C018!$C$22+[1]C018!$C$23</f>
        <v>0</v>
      </c>
      <c r="AK16" s="64">
        <f>[1]C018!$C$10+[1]C018!$C$14</f>
        <v>0</v>
      </c>
    </row>
    <row r="17" spans="2:37">
      <c r="B17" s="105" t="s">
        <v>43</v>
      </c>
      <c r="C17" s="99">
        <f>[1]CO99!$H$26</f>
        <v>0</v>
      </c>
      <c r="D17" s="98">
        <f>[1]C019!$E$9</f>
        <v>0</v>
      </c>
      <c r="E17" s="98"/>
      <c r="F17" s="98"/>
      <c r="G17" s="98"/>
      <c r="H17" s="98">
        <f>C17</f>
        <v>0</v>
      </c>
      <c r="I17" s="99"/>
      <c r="J17" s="99">
        <f>[1]C019!$E$9</f>
        <v>0</v>
      </c>
      <c r="K17" s="88"/>
      <c r="Y17" s="16" t="s">
        <v>43</v>
      </c>
      <c r="Z17" s="18"/>
      <c r="AA17" s="24"/>
      <c r="AB17" s="26"/>
      <c r="AC17" s="18"/>
      <c r="AD17" s="26">
        <v>0</v>
      </c>
      <c r="AF17" s="16" t="s">
        <v>43</v>
      </c>
      <c r="AG17" s="18"/>
      <c r="AH17" s="24"/>
      <c r="AI17" s="26"/>
      <c r="AJ17" s="18"/>
      <c r="AK17" s="74">
        <f>[1]C019!$C$15+[1]C019!$C$16+[1]C019!$C$19+[1]C019!$C$21+[1]C019!$C$22+[1]C019!$C$23+[1]C019!$C$24</f>
        <v>0</v>
      </c>
    </row>
    <row r="18" spans="2:37">
      <c r="B18" s="16" t="s">
        <v>44</v>
      </c>
      <c r="C18" s="101">
        <f>[1]CO99!$H$27</f>
        <v>0</v>
      </c>
      <c r="D18" s="101">
        <f>IF(ISERROR([1]C022!$E$9),0,[1]C022!$E$9)</f>
        <v>0</v>
      </c>
      <c r="E18" s="102"/>
      <c r="F18" s="101">
        <f>[1]C022!$E$18</f>
        <v>0</v>
      </c>
      <c r="G18" s="107">
        <f>IF(ISERROR([1]C022!$E$15),0,[1]C022!$E$15)</f>
        <v>0</v>
      </c>
      <c r="H18" s="101">
        <f>IF(ISERROR([1]C022!$E$20),0,[1]C022!$E$20+[1]C022!$E$21)</f>
        <v>0</v>
      </c>
      <c r="I18" s="101">
        <f>IF(ISERROR([1]C022!$E$14),0,[1]C022!$E$14+[1]C022!$E$16)</f>
        <v>0</v>
      </c>
      <c r="J18" s="107">
        <f>[1]C022!$E$25</f>
        <v>0</v>
      </c>
      <c r="K18" s="88"/>
      <c r="Y18" s="16" t="s">
        <v>44</v>
      </c>
      <c r="Z18" s="23"/>
      <c r="AA18" s="67">
        <f>[1]C022!$D$18</f>
        <v>0</v>
      </c>
      <c r="AB18" s="75">
        <f>[1]C022!$D$15</f>
        <v>0</v>
      </c>
      <c r="AC18" s="75">
        <f>[1]C022!$D$20+[1]C022!$D$21+[1]C022!$D$22</f>
        <v>0</v>
      </c>
      <c r="AD18" s="72">
        <f>[1]C022!$D$10+[1]C022!$D$14+[1]C022!$D$16</f>
        <v>0</v>
      </c>
      <c r="AF18" s="16" t="s">
        <v>44</v>
      </c>
      <c r="AG18" s="23"/>
      <c r="AH18" s="67">
        <f>[1]C022!$D$18</f>
        <v>0</v>
      </c>
      <c r="AI18" s="75">
        <f>[1]C022!$C$15</f>
        <v>0</v>
      </c>
      <c r="AJ18" s="75">
        <f>[1]C022!$C$20+[1]C022!$C$21+[1]C022!$C$22</f>
        <v>0</v>
      </c>
      <c r="AK18" s="72">
        <f>[1]C022!$C$10+[1]C022!$C$14+[1]C022!$C$16</f>
        <v>0</v>
      </c>
    </row>
    <row r="19" spans="2:37">
      <c r="B19" s="105" t="s">
        <v>45</v>
      </c>
      <c r="C19" s="98">
        <f>[1]CO99!$H$28</f>
        <v>207128</v>
      </c>
      <c r="D19" s="98">
        <f>IF(ISERROR([1]C024!$E$9),0,[1]C024!$E$9)</f>
        <v>66931</v>
      </c>
      <c r="E19" s="98">
        <f>IF(ISERROR([1]C024!$E$23),0,[1]C024!$E$23)</f>
        <v>168</v>
      </c>
      <c r="F19" s="98">
        <f>[1]C024!$E$25+[1]C024!$E$26</f>
        <v>37547</v>
      </c>
      <c r="G19" s="99">
        <f>IF(ISERROR([1]C024!$E$14),0,[1]C024!$E$14)</f>
        <v>0</v>
      </c>
      <c r="H19" s="98">
        <f>IF(ISERROR([1]C024!$E$28),0,[1]C024!$E$28+[1]C024!$E$29)</f>
        <v>90000</v>
      </c>
      <c r="I19" s="98">
        <f>IF(ISERROR([1]C024!$E$16),0,[1]C024!$E$16+[1]C024!$E$17+[1]C024!$E$18+[1]C024!$E$19+[1]C024!$E$20+[1]C024!$E$21)</f>
        <v>12482</v>
      </c>
      <c r="J19" s="99">
        <f>[1]C024!$E$33</f>
        <v>0</v>
      </c>
      <c r="K19" s="88"/>
      <c r="Y19" s="16" t="s">
        <v>45</v>
      </c>
      <c r="Z19" s="68">
        <f>[1]C024!$D$23</f>
        <v>28174</v>
      </c>
      <c r="AA19" s="75">
        <f>[1]C024!$D$25+[1]C024!$D$26</f>
        <v>12172</v>
      </c>
      <c r="AB19" s="75">
        <f>[1]C024!$D$14</f>
        <v>0</v>
      </c>
      <c r="AC19" s="67">
        <f>[1]C024!$D$28+[1]C024!$D$29+[1]C024!$D$30</f>
        <v>99016</v>
      </c>
      <c r="AD19" s="64">
        <f>([1]C024!$D$10+[1]C024!$D$16+[1]C024!$D$17+[1]C024!$D$18+[1]C024!$D$19+[1]C024!$D$20+[1]C024!$D$21)</f>
        <v>13223</v>
      </c>
      <c r="AF19" s="16" t="s">
        <v>45</v>
      </c>
      <c r="AG19" s="68">
        <f>[1]C024!$C$23</f>
        <v>23110</v>
      </c>
      <c r="AH19" s="75">
        <f>[1]C024!$C$25+[1]C024!$C$26</f>
        <v>16124</v>
      </c>
      <c r="AI19" s="75">
        <f>[1]C024!$C$14</f>
        <v>0</v>
      </c>
      <c r="AJ19" s="67">
        <f>[1]C024!$C$28+[1]C024!$C$29+[1]C024!$C$30</f>
        <v>50000</v>
      </c>
      <c r="AK19" s="64">
        <f>([1]C024!$C$10+[1]C024!$C$16+[1]C024!$C$17+[1]C024!$C$18+[1]C024!$C$19+[1]C024!$C$20+[1]C024!$C$21)</f>
        <v>14936</v>
      </c>
    </row>
    <row r="20" spans="2:37">
      <c r="B20" s="16" t="s">
        <v>46</v>
      </c>
      <c r="C20" s="101">
        <f>[1]CO99!$H$29</f>
        <v>0</v>
      </c>
      <c r="D20" s="101">
        <f>IF(ISERROR([1]C026!$E$9),0,[1]C026!$E$9)</f>
        <v>20268</v>
      </c>
      <c r="E20" s="101">
        <f>IF(ISERROR([1]C026!$E$17),0,[1]C026!$E$17)</f>
        <v>0</v>
      </c>
      <c r="F20" s="101">
        <f>IF(ISERROR([1]C026!$E$19),0,[1]C026!$E$19)</f>
        <v>0</v>
      </c>
      <c r="G20" s="107">
        <f>IF(ISERROR([1]C026!$E$14),0,[1]C026!$E$14)</f>
        <v>0</v>
      </c>
      <c r="H20" s="101">
        <f>IF(ISERROR([1]C026!$E$21),0,[1]C026!$E$21+[1]C026!$E$22)</f>
        <v>0</v>
      </c>
      <c r="I20" s="101">
        <f>IF(ISERROR([1]C026!$E$15),0,[1]C026!$E$15)</f>
        <v>0</v>
      </c>
      <c r="J20" s="107">
        <f>[1]C026!$E$83</f>
        <v>20268</v>
      </c>
      <c r="K20" s="88"/>
      <c r="Y20" s="16" t="s">
        <v>46</v>
      </c>
      <c r="Z20" s="17">
        <f>[1]C026!$D$17</f>
        <v>206</v>
      </c>
      <c r="AA20" s="75">
        <f>[1]C026!$D$19</f>
        <v>0</v>
      </c>
      <c r="AB20" s="64">
        <f>[1]C026!$D$14</f>
        <v>0</v>
      </c>
      <c r="AC20" s="64">
        <f>[1]C026!$D$21+[1]C026!$D$22+[1]C026!$D$23</f>
        <v>1983</v>
      </c>
      <c r="AD20" s="64">
        <f>[1]C026!$D$10+[1]C026!$D$15</f>
        <v>0</v>
      </c>
      <c r="AF20" s="16" t="s">
        <v>46</v>
      </c>
      <c r="AG20" s="17">
        <f>[1]C026!$C$17</f>
        <v>190</v>
      </c>
      <c r="AH20" s="75">
        <f>[1]C026!$C$19</f>
        <v>0</v>
      </c>
      <c r="AI20" s="64">
        <f>[1]C026!$C$14</f>
        <v>0</v>
      </c>
      <c r="AJ20" s="64">
        <f>[1]C026!$C$21+[1]C026!$C$22+[1]C026!$C$23</f>
        <v>0</v>
      </c>
      <c r="AK20" s="64">
        <f>[1]C026!$C$10+[1]C026!$C$15</f>
        <v>0</v>
      </c>
    </row>
    <row r="21" spans="2:37">
      <c r="B21" s="105" t="s">
        <v>47</v>
      </c>
      <c r="C21" s="98">
        <f>[1]CO99!$H$30</f>
        <v>0</v>
      </c>
      <c r="D21" s="98">
        <f>IF(ISERROR([1]C028!$E$9),0,[1]C028!$E$9)</f>
        <v>0</v>
      </c>
      <c r="E21" s="98">
        <f>IF(ISERROR([1]C028!$E$18),0,[1]C028!$E$18)</f>
        <v>0</v>
      </c>
      <c r="F21" s="98">
        <f>IF(ISERROR([1]C028!$E$20),0,[1]C028!$E$20)</f>
        <v>0</v>
      </c>
      <c r="G21" s="99">
        <f>IF(ISERROR([1]C028!$E$15),0,[1]C028!$E$15)</f>
        <v>0</v>
      </c>
      <c r="H21" s="98">
        <f>IF(ISERROR([1]C028!$E$22),0,[1]C028!$E$22+[1]C028!$E$23)</f>
        <v>0</v>
      </c>
      <c r="I21" s="98">
        <f>IF(ISERROR([1]C028!$E$14),0,[1]C028!$E$14+[1]C028!$E$16)</f>
        <v>0</v>
      </c>
      <c r="J21" s="99">
        <f>[1]C028!$E$27</f>
        <v>0</v>
      </c>
      <c r="K21" s="88"/>
      <c r="Y21" s="16" t="s">
        <v>47</v>
      </c>
      <c r="Z21" s="67">
        <f>[1]C028!$D$18</f>
        <v>0</v>
      </c>
      <c r="AA21" s="76">
        <f>[1]C028!$D$20</f>
        <v>0</v>
      </c>
      <c r="AB21" s="64">
        <f>[1]C028!$D$15</f>
        <v>0</v>
      </c>
      <c r="AC21" s="64">
        <f>[1]C028!$D$22+[1]C028!$D$23+[1]C028!$D$24</f>
        <v>0</v>
      </c>
      <c r="AD21" s="64">
        <f>[1]C028!$D$10+[1]C028!$D$14+[1]C028!$D$16</f>
        <v>0</v>
      </c>
      <c r="AF21" s="16" t="s">
        <v>47</v>
      </c>
      <c r="AG21" s="67">
        <f>[1]C028!$C$18</f>
        <v>0</v>
      </c>
      <c r="AH21" s="76">
        <f>[1]C028!$C$20</f>
        <v>0</v>
      </c>
      <c r="AI21" s="64">
        <f>[1]C028!$C$15</f>
        <v>0</v>
      </c>
      <c r="AJ21" s="64">
        <f>[1]C028!$C$22+[1]C028!$C$23+[1]C028!$C$24</f>
        <v>0</v>
      </c>
      <c r="AK21" s="64">
        <f>[1]C028!$C$10+[1]C028!$C$14+[1]C028!$C$16</f>
        <v>0</v>
      </c>
    </row>
    <row r="22" spans="2:37">
      <c r="B22" s="16" t="s">
        <v>48</v>
      </c>
      <c r="C22" s="101">
        <f>[1]CO99!$H$31</f>
        <v>0</v>
      </c>
      <c r="D22" s="101">
        <f>IF(ISERROR([1]C029!$E$9),0,[1]C029!$E$9)</f>
        <v>0</v>
      </c>
      <c r="E22" s="102"/>
      <c r="F22" s="101">
        <f>SUM([1]C029!$E$21:$E$22)</f>
        <v>0</v>
      </c>
      <c r="G22" s="107">
        <f>IF(ISERROR([1]C029!$E$18),0,[1]C029!$E$18)</f>
        <v>0</v>
      </c>
      <c r="H22" s="101">
        <f>IF(ISERROR([1]C029!$E$24),0,[1]C029!$E$24+[1]C029!$E$25)</f>
        <v>0</v>
      </c>
      <c r="I22" s="101">
        <f>IF(ISERROR([1]C029!$E$15),0,[1]C029!$E$15+[1]C029!$E$16+[1]C029!$E$17+[1]C029!$E$19)</f>
        <v>0</v>
      </c>
      <c r="J22" s="107">
        <f>[1]C029!$E$29</f>
        <v>0</v>
      </c>
      <c r="K22" s="88"/>
      <c r="Y22" s="16" t="s">
        <v>48</v>
      </c>
      <c r="Z22" s="23"/>
      <c r="AA22" s="64">
        <f>SUM([1]C029!$D$21:$D$22)</f>
        <v>0</v>
      </c>
      <c r="AB22" s="72">
        <f>[1]C029!$D$18</f>
        <v>0</v>
      </c>
      <c r="AC22" s="64">
        <f>[1]C029!$D$24+[1]C029!$D$25+[1]C029!$D$26</f>
        <v>0</v>
      </c>
      <c r="AD22" s="64">
        <f>[1]C029!$D$10+[1]C029!$D$15+[1]C029!$D$16+[1]C029!$D$17+[1]C029!$D$19</f>
        <v>0</v>
      </c>
      <c r="AF22" s="16" t="s">
        <v>48</v>
      </c>
      <c r="AG22" s="23"/>
      <c r="AH22" s="64">
        <f>SUM([1]C029!$C$21:$C$22)</f>
        <v>0</v>
      </c>
      <c r="AI22" s="72">
        <f>[1]C029!$C$18</f>
        <v>0</v>
      </c>
      <c r="AJ22" s="64">
        <f>[1]C029!$C$24+[1]C029!$C$25+[1]C029!$C$26</f>
        <v>0</v>
      </c>
      <c r="AK22" s="64">
        <f>[1]C029!$C$10+[1]C029!$C$15+[1]C029!$C$16+[1]C029!$C$17+[1]C029!$C$19</f>
        <v>0</v>
      </c>
    </row>
    <row r="23" spans="2:37">
      <c r="B23" s="105" t="s">
        <v>37</v>
      </c>
      <c r="C23" s="98">
        <f>[1]CO99!$H$32</f>
        <v>275168</v>
      </c>
      <c r="D23" s="98">
        <f>IF(ISERROR([1]C030!$E$9),0,[1]C030!$E$9)</f>
        <v>151300</v>
      </c>
      <c r="E23" s="98">
        <f>IF(ISERROR([1]C030!$E$18),0,[1]C030!$E$18)</f>
        <v>0</v>
      </c>
      <c r="F23" s="98">
        <f>IF(ISERROR([1]C030!$E$20),0,SUM([1]C030!$E$20:$E$25))</f>
        <v>0</v>
      </c>
      <c r="G23" s="99">
        <f>IF(ISERROR([1]C030!$E$14),0,[1]C030!$E$14)</f>
        <v>0</v>
      </c>
      <c r="H23" s="98">
        <f>IF(ISERROR([1]C030!$E$27),0,SUM([1]C030!$E$27:$E$28))</f>
        <v>121868</v>
      </c>
      <c r="I23" s="98">
        <f>IF(ISERROR([1]C030!$E$15),0,[1]C030!$E$15)</f>
        <v>2000</v>
      </c>
      <c r="J23" s="99">
        <f>[1]C030!$E$32</f>
        <v>0</v>
      </c>
      <c r="K23" s="88"/>
      <c r="Y23" s="16" t="s">
        <v>37</v>
      </c>
      <c r="Z23" s="68">
        <f>[1]C030!$D$18</f>
        <v>0</v>
      </c>
      <c r="AA23" s="64">
        <f>SUM([1]C030!$D$20:$D$25)</f>
        <v>0</v>
      </c>
      <c r="AB23" s="72">
        <f>[1]C030!$D$14</f>
        <v>0</v>
      </c>
      <c r="AC23" s="64">
        <f>SUM([1]C030!$D$27:$D$29)</f>
        <v>193034</v>
      </c>
      <c r="AD23" s="64">
        <f>[1]C030!$D$10+[1]C030!$D$15+[1]C030!$D$16</f>
        <v>1213</v>
      </c>
      <c r="AF23" s="16" t="s">
        <v>37</v>
      </c>
      <c r="AG23" s="68">
        <f>[1]C030!$C$18</f>
        <v>0</v>
      </c>
      <c r="AH23" s="64">
        <f>SUM([1]C030!$C$20:$C$25)</f>
        <v>0</v>
      </c>
      <c r="AI23" s="72">
        <f>[1]C030!$C$14</f>
        <v>0</v>
      </c>
      <c r="AJ23" s="64">
        <f>SUM([1]C030!$C$27:$C$29)</f>
        <v>125000</v>
      </c>
      <c r="AK23" s="64">
        <f>[1]C030!$C$10+[1]C030!$C$15+[1]C030!$C$16</f>
        <v>1785</v>
      </c>
    </row>
    <row r="24" spans="2:37">
      <c r="B24" s="16" t="s">
        <v>138</v>
      </c>
      <c r="C24" s="101">
        <f>[1]CO99!$H$34</f>
        <v>0</v>
      </c>
      <c r="D24" s="101">
        <f>IF(ISERROR([1]C034!$E$9),0,[1]C034!$E$9)</f>
        <v>0</v>
      </c>
      <c r="E24" s="101">
        <f>IF(ISERROR([1]C034!$E$25),0,[1]C034!$E$25)+[1]C034!$E$26</f>
        <v>0</v>
      </c>
      <c r="F24" s="101">
        <f>IF(ISERROR([1]C034!$E$29),0,[1]C034!$E$29+[1]C034!$E$30+[1]C034!$E$31)</f>
        <v>0</v>
      </c>
      <c r="G24" s="107">
        <f>IF(ISERROR([1]C034!$E$18),0,[1]C034!$E$18)</f>
        <v>0</v>
      </c>
      <c r="H24" s="101">
        <f>IF(ISERROR([1]C034!$E$33),0,[1]C034!$E$33+[1]C034!$E$34)</f>
        <v>0</v>
      </c>
      <c r="I24" s="101">
        <f>IF(ISERROR([1]C034!$E$15),0,[1]C034!$E$15+[1]C034!$E$16+[1]C034!$E$17+[1]C034!$E$21+[1]C034!$E$22+[1]C034!$E$23)</f>
        <v>0</v>
      </c>
      <c r="J24" s="107">
        <f>[1]C034!$E$38</f>
        <v>0</v>
      </c>
      <c r="K24" s="88"/>
      <c r="Y24" s="61" t="str">
        <f>B24</f>
        <v>Career and Postsecondary Education</v>
      </c>
      <c r="Z24" s="64">
        <f>[1]C034!$D$25+[1]C034!$D$26</f>
        <v>0</v>
      </c>
      <c r="AA24" s="73">
        <f>[1]C034!$D$29+[1]C034!$D$30+[1]C034!$D$31</f>
        <v>0</v>
      </c>
      <c r="AB24" s="67">
        <f>[1]C034!$D$18</f>
        <v>0</v>
      </c>
      <c r="AC24" s="75">
        <f>[1]C034!$D$33+[1]C034!$D$34+[1]C034!$D$35</f>
        <v>0</v>
      </c>
      <c r="AD24" s="72">
        <f>[1]C034!$D$10+[1]C034!$D$15+[1]C034!$D$16+[1]C034!$D$17+[1]C034!$D$19+[1]C034!$D$21+[1]C034!$D$22+[1]C034!$D$23</f>
        <v>0</v>
      </c>
      <c r="AF24" s="61" t="str">
        <f>B24</f>
        <v>Career and Postsecondary Education</v>
      </c>
      <c r="AG24" s="64">
        <f>[1]C034!$C$25+[1]C034!$C$26</f>
        <v>0</v>
      </c>
      <c r="AH24" s="73">
        <f>[1]C034!$C$29++[1]C034!$C$31</f>
        <v>0</v>
      </c>
      <c r="AI24" s="67">
        <f>[1]C034!$C$18</f>
        <v>0</v>
      </c>
      <c r="AJ24" s="75">
        <f>[1]C034!$C$33+[1]C034!$C$34+[1]C034!$C$35</f>
        <v>0</v>
      </c>
      <c r="AK24" s="72">
        <f>[1]C034!$C$10+[1]C034!$C$15+[1]C034!$C$16+[1]C034!$C$17+[1]C034!$C$19+[1]C034!$C$21+[1]C034!$C$22+[1]C034!$C$23</f>
        <v>0</v>
      </c>
    </row>
    <row r="25" spans="2:37">
      <c r="B25" s="105" t="s">
        <v>110</v>
      </c>
      <c r="C25" s="98">
        <f>[1]CO99!$H$36</f>
        <v>0</v>
      </c>
      <c r="D25" s="108">
        <f>IF(ISERROR([1]C042!$E$9),0,[1]C042!$E$9)</f>
        <v>0</v>
      </c>
      <c r="E25" s="108"/>
      <c r="F25" s="108"/>
      <c r="G25" s="98">
        <f>[1]C042!$E$20</f>
        <v>0</v>
      </c>
      <c r="H25" s="98">
        <f>IF(ISERROR([1]C042!E33),0,[1]C042!E33+[1]C042!E35)</f>
        <v>0</v>
      </c>
      <c r="I25" s="98">
        <f>IF(ISERROR([1]C042!$E$17),0,[1]C042!$E$17+[1]C042!$E$18+[1]C042!$E$19+[1]C042!$E$21+[1]C042!$E$24+[1]C042!$E$26+[1]C042!$E$28+[1]C042!$E$30)</f>
        <v>0</v>
      </c>
      <c r="J25" s="99">
        <f>[1]C042!$E$51</f>
        <v>0</v>
      </c>
      <c r="K25" s="88"/>
      <c r="Y25" s="16" t="s">
        <v>110</v>
      </c>
      <c r="Z25" s="25"/>
      <c r="AA25" s="27"/>
      <c r="AB25" s="64">
        <f>[1]C042!$D$20</f>
        <v>0</v>
      </c>
      <c r="AC25" s="76">
        <f>[1]C042!D33+[1]C042!D35+[1]C042!D37</f>
        <v>0</v>
      </c>
      <c r="AD25" s="76">
        <f>[1]C042!$D$10+[1]C042!$D$16+[1]C042!$D$17+[1]C042!$D$18+[1]C042!$D$19+[1]C042!$D$21+[1]C042!$D$24+[1]C042!$D$26+[1]C042!$D$28+[1]C042!$D$30</f>
        <v>0</v>
      </c>
      <c r="AF25" s="16" t="s">
        <v>110</v>
      </c>
      <c r="AG25" s="25"/>
      <c r="AH25" s="27"/>
      <c r="AI25" s="64">
        <f>[1]C042!$C$20</f>
        <v>0</v>
      </c>
      <c r="AJ25" s="76">
        <f>[1]C042!AD33+[1]C042!AD35+[1]C042!AD37</f>
        <v>0</v>
      </c>
      <c r="AK25" s="76">
        <f>[1]C042!$C$10+[1]C042!$C$15+[1]C042!$C$16+[1]C042!$C$18+[1]C042!$C$19+[1]C042!$C$21+[1]C042!$C$24+[1]C042!$C$26+[1]C042!$C$28+[1]C042!$C$30</f>
        <v>0</v>
      </c>
    </row>
    <row r="26" spans="2:37">
      <c r="B26" s="28" t="s">
        <v>111</v>
      </c>
      <c r="C26" s="109"/>
      <c r="D26" s="101">
        <f>[1]C047!$E$9</f>
        <v>0</v>
      </c>
      <c r="E26" s="109"/>
      <c r="F26" s="109"/>
      <c r="G26" s="109"/>
      <c r="H26" s="109"/>
      <c r="I26" s="109"/>
      <c r="J26" s="102"/>
      <c r="K26" s="88"/>
      <c r="Y26" s="28" t="s">
        <v>111</v>
      </c>
      <c r="Z26" s="33"/>
      <c r="AA26" s="34"/>
      <c r="AB26" s="67">
        <f>[1]C047!$D$14</f>
        <v>0</v>
      </c>
      <c r="AC26" s="64">
        <f>[1]C047!$D$36</f>
        <v>0</v>
      </c>
      <c r="AD26" s="64">
        <f>[1]C047!$D$10+[1]C047!$D$15</f>
        <v>0</v>
      </c>
      <c r="AF26" s="28" t="s">
        <v>111</v>
      </c>
      <c r="AG26" s="33"/>
      <c r="AH26" s="34"/>
      <c r="AI26" s="67">
        <f>[1]C047!$C$14</f>
        <v>0</v>
      </c>
      <c r="AJ26" s="64">
        <f>[1]C047!$C$36</f>
        <v>0</v>
      </c>
      <c r="AK26" s="64">
        <f>[1]C047!$C$10+[1]C047!$C$15</f>
        <v>0</v>
      </c>
    </row>
    <row r="27" spans="2:37">
      <c r="B27" s="110" t="s">
        <v>112</v>
      </c>
      <c r="C27" s="98">
        <f>[1]CO99!$H$35</f>
        <v>125522</v>
      </c>
      <c r="D27" s="108">
        <f>IF(ISERROR([1]C035!$E$9),0,[1]C035!$E$9)</f>
        <v>50022</v>
      </c>
      <c r="E27" s="98">
        <f>IF(ISERROR([1]C035!$E$21),0,SUM([1]C035!$E$21:$E$25))</f>
        <v>10500</v>
      </c>
      <c r="F27" s="98">
        <f>SUM([1]C035!$E$27:$E$29)</f>
        <v>0</v>
      </c>
      <c r="G27" s="98"/>
      <c r="H27" s="98"/>
      <c r="I27" s="98">
        <f>SUM([1]C035!E14:E19)</f>
        <v>65000</v>
      </c>
      <c r="J27" s="99">
        <f>[1]C035!$E$32</f>
        <v>0</v>
      </c>
      <c r="K27" s="88"/>
      <c r="Y27" s="28" t="s">
        <v>112</v>
      </c>
      <c r="Z27" s="77">
        <f>SUM([1]C035!$D$21:$D$25)</f>
        <v>4581</v>
      </c>
      <c r="AA27" s="78">
        <f>SUM([1]C035!$D$27:$D$29)</f>
        <v>0</v>
      </c>
      <c r="AB27" s="21"/>
      <c r="AC27" s="21"/>
      <c r="AD27" s="68">
        <f>SUM([1]C035!$D$10,[1]C035!$D$14:$D$19)</f>
        <v>14213</v>
      </c>
      <c r="AF27" s="28" t="s">
        <v>112</v>
      </c>
      <c r="AG27" s="67">
        <f>SUM([1]C035!$C$21:$C$25)</f>
        <v>11589</v>
      </c>
      <c r="AH27" s="75">
        <f>SUM([1]C035!$C$27:$C$29)</f>
        <v>0</v>
      </c>
      <c r="AI27" s="21"/>
      <c r="AJ27" s="21"/>
      <c r="AK27" s="68">
        <f>SUM([1]C035!$C$10,[1]C035!$C$14:$C$19)</f>
        <v>11789</v>
      </c>
    </row>
    <row r="28" spans="2:37">
      <c r="B28" s="28" t="s">
        <v>113</v>
      </c>
      <c r="C28" s="109"/>
      <c r="D28" s="111">
        <f>[1]C055!$E$9</f>
        <v>0</v>
      </c>
      <c r="E28" s="109"/>
      <c r="F28" s="109"/>
      <c r="G28" s="109"/>
      <c r="H28" s="109"/>
      <c r="I28" s="109"/>
      <c r="J28" s="102"/>
      <c r="K28" s="88"/>
      <c r="Y28" s="28" t="s">
        <v>113</v>
      </c>
      <c r="Z28" s="35"/>
      <c r="AA28" s="67">
        <f>[1]C055!$D$20</f>
        <v>0</v>
      </c>
      <c r="AB28" s="36"/>
      <c r="AC28" s="67">
        <f>[1]C055!$D$22+[1]C055!$D$23+[1]C055!$D$24</f>
        <v>0</v>
      </c>
      <c r="AD28" s="64">
        <f>SUM([1]C055!$D$10,[1]C055!$D$15:$D$18)</f>
        <v>0</v>
      </c>
      <c r="AF28" s="28" t="s">
        <v>113</v>
      </c>
      <c r="AG28" s="35"/>
      <c r="AH28" s="67">
        <f>[1]C055!$D$20</f>
        <v>0</v>
      </c>
      <c r="AI28" s="36"/>
      <c r="AJ28" s="67">
        <f>[1]C055!$C$22+[1]C055!$C$23+[1]C055!$C$24</f>
        <v>0</v>
      </c>
      <c r="AK28" s="64">
        <f>SUM([1]C055!$C$10,[1]C055!$C$15:$C$18)</f>
        <v>150</v>
      </c>
    </row>
    <row r="29" spans="2:37">
      <c r="B29" s="110" t="s">
        <v>51</v>
      </c>
      <c r="C29" s="108">
        <f>[1]CO99!$H$37</f>
        <v>0</v>
      </c>
      <c r="D29" s="108">
        <f>IF(ISERROR([1]C044!$E$9),0,[1]C044!$E$9)</f>
        <v>0</v>
      </c>
      <c r="E29" s="108"/>
      <c r="F29" s="108"/>
      <c r="G29" s="108">
        <f>IF(ISERROR([1]C044!$E$20),0,[1]C044!$E$20)</f>
        <v>0</v>
      </c>
      <c r="H29" s="108"/>
      <c r="I29" s="98">
        <f>IF(ISERROR([1]C044!$E$17),0,[1]C044!$E$17+[1]C044!$E$18+[1]C044!$E$19+[1]C044!$E$22+[1]C044!$E$24+[1]C044!$E$26+[1]C044!$E$28)</f>
        <v>0</v>
      </c>
      <c r="J29" s="99">
        <f>[1]C044!$E$39</f>
        <v>0</v>
      </c>
      <c r="K29" s="88"/>
      <c r="Y29" s="28" t="s">
        <v>51</v>
      </c>
      <c r="Z29" s="23"/>
      <c r="AA29" s="5"/>
      <c r="AB29" s="69">
        <f>[1]C044!$D$20</f>
        <v>0</v>
      </c>
      <c r="AC29" s="21"/>
      <c r="AD29" s="67">
        <f>[1]C044!$D$10+[1]C044!$D$16+[1]C044!$D$17+[1]C044!$D$19+[1]C044!$D$22+[1]C044!$D$24+[1]C044!$D$26+[1]C044!$D$28</f>
        <v>0</v>
      </c>
      <c r="AF29" s="28" t="s">
        <v>51</v>
      </c>
      <c r="AG29" s="23"/>
      <c r="AH29" s="5"/>
      <c r="AI29" s="69">
        <f>[1]C044!$C$20</f>
        <v>0</v>
      </c>
      <c r="AJ29" s="21"/>
      <c r="AK29" s="67">
        <f>[1]C044!$C$10+[1]C044!$C$15+[1]C044!$C$16+[1]C044!$C$19+[1]C044!$C$22+[1]C044!$C$24+[1]C044!$C$26+[1]C044!$C$28</f>
        <v>0</v>
      </c>
    </row>
    <row r="30" spans="2:37">
      <c r="B30" s="16" t="s">
        <v>52</v>
      </c>
      <c r="C30" s="111">
        <f>[1]CO99!$H$38</f>
        <v>0</v>
      </c>
      <c r="D30" s="101">
        <f>IF(ISERROR([1]C045!$E$9),0,[1]C045!$E$9)</f>
        <v>0</v>
      </c>
      <c r="E30" s="102"/>
      <c r="F30" s="102"/>
      <c r="G30" s="102"/>
      <c r="H30" s="101">
        <f>C30</f>
        <v>0</v>
      </c>
      <c r="I30" s="101">
        <f>IF(ISERROR([1]C045!$E$17),0,[1]C045!$E$17+[1]C045!$E$19+[1]C045!$E$21+[1]C045!$E$22+[1]C045!$E$23+[1]C045!$E$24+[1]C045!$E$33)</f>
        <v>0</v>
      </c>
      <c r="J30" s="102"/>
      <c r="K30" s="88"/>
      <c r="Y30" s="16" t="s">
        <v>52</v>
      </c>
      <c r="Z30" s="23"/>
      <c r="AA30" s="5"/>
      <c r="AB30" s="22"/>
      <c r="AC30" s="23"/>
      <c r="AD30" s="74">
        <f>[1]C045!$D$16+[1]C045!$D$17+[1]C045!$D$19+[1]C045!$D$21+[1]C045!$D$22+[1]C045!$D$23+[1]C045!$D$24</f>
        <v>0</v>
      </c>
      <c r="AF30" s="16" t="s">
        <v>52</v>
      </c>
      <c r="AG30" s="23"/>
      <c r="AH30" s="5"/>
      <c r="AI30" s="22"/>
      <c r="AJ30" s="23"/>
      <c r="AK30" s="74">
        <f>[1]C045!$C$15+[1]C045!$C$16+[1]C045!$C$19+[1]C045!$C$21+[1]C045!$C$22+[1]C045!$C$23+[1]C045!$C$24</f>
        <v>0</v>
      </c>
    </row>
    <row r="31" spans="2:37">
      <c r="B31" s="105" t="s">
        <v>114</v>
      </c>
      <c r="C31" s="108">
        <f>[1]CO99!$H$40</f>
        <v>85251</v>
      </c>
      <c r="D31" s="112">
        <v>0</v>
      </c>
      <c r="E31" s="98">
        <f>IF(ISERROR([1]C051!$E$14),0,[1]C051!$E$14)</f>
        <v>85251</v>
      </c>
      <c r="F31" s="98"/>
      <c r="G31" s="98"/>
      <c r="H31" s="99"/>
      <c r="I31" s="98"/>
      <c r="J31" s="99"/>
      <c r="K31" s="88"/>
      <c r="Y31" s="16" t="s">
        <v>114</v>
      </c>
      <c r="Z31" s="68">
        <f>[1]C051!$D$14</f>
        <v>74260</v>
      </c>
      <c r="AA31" s="5"/>
      <c r="AB31" s="23"/>
      <c r="AC31" s="21"/>
      <c r="AD31" s="18"/>
      <c r="AF31" s="16" t="s">
        <v>114</v>
      </c>
      <c r="AG31" s="68">
        <f>[1]C051!$C$14</f>
        <v>85327</v>
      </c>
      <c r="AH31" s="5"/>
      <c r="AI31" s="23"/>
      <c r="AJ31" s="21"/>
      <c r="AK31" s="18"/>
    </row>
    <row r="32" spans="2:37">
      <c r="B32" s="28" t="s">
        <v>55</v>
      </c>
      <c r="C32" s="113"/>
      <c r="D32" s="101">
        <f>[1]C053!$E$9</f>
        <v>0</v>
      </c>
      <c r="E32" s="102"/>
      <c r="F32" s="102"/>
      <c r="G32" s="102"/>
      <c r="H32" s="102"/>
      <c r="I32" s="102"/>
      <c r="J32" s="102"/>
      <c r="K32" s="88"/>
      <c r="Y32" s="28" t="s">
        <v>55</v>
      </c>
      <c r="Z32" s="18"/>
      <c r="AA32" s="5"/>
      <c r="AB32" s="23"/>
      <c r="AC32" s="67">
        <f>[1]C053!$D$14</f>
        <v>52994</v>
      </c>
      <c r="AD32" s="67">
        <f>[1]C053!$D$10</f>
        <v>0</v>
      </c>
      <c r="AF32" s="28" t="s">
        <v>55</v>
      </c>
      <c r="AG32" s="18"/>
      <c r="AH32" s="5"/>
      <c r="AI32" s="23"/>
      <c r="AJ32" s="67">
        <f>[1]C053!$C$14</f>
        <v>241040</v>
      </c>
      <c r="AK32" s="67">
        <f>[1]C053!$C$10</f>
        <v>0</v>
      </c>
    </row>
    <row r="33" spans="2:37">
      <c r="B33" s="110" t="s">
        <v>115</v>
      </c>
      <c r="C33" s="98"/>
      <c r="D33" s="98">
        <f>[1]C056!$E$9</f>
        <v>0</v>
      </c>
      <c r="E33" s="98"/>
      <c r="F33" s="112"/>
      <c r="G33" s="98"/>
      <c r="H33" s="98"/>
      <c r="I33" s="98"/>
      <c r="J33" s="99"/>
      <c r="K33" s="88"/>
      <c r="Y33" s="28" t="s">
        <v>115</v>
      </c>
      <c r="Z33" s="25"/>
      <c r="AA33" s="5"/>
      <c r="AB33" s="23"/>
      <c r="AC33" s="21"/>
      <c r="AD33" s="68">
        <f>SUM([1]C056!$D$10,[1]C056!$D$14:$D$18)</f>
        <v>0</v>
      </c>
      <c r="AF33" s="28" t="s">
        <v>115</v>
      </c>
      <c r="AG33" s="25"/>
      <c r="AH33" s="5"/>
      <c r="AI33" s="23"/>
      <c r="AJ33" s="21"/>
      <c r="AK33" s="68">
        <f>SUM([1]C056!$C$10,[1]C056!$C$14:$C$18)</f>
        <v>0</v>
      </c>
    </row>
    <row r="34" spans="2:37">
      <c r="B34" s="62" t="str">
        <f>[1]OpenData!$O$44</f>
        <v>Bond and Interest #1</v>
      </c>
      <c r="C34" s="101">
        <f>[1]CO99!$H$45</f>
        <v>154900</v>
      </c>
      <c r="D34" s="101">
        <f>IF(ISERROR([1]C062!$E$9),0,[1]C062!$E$9)</f>
        <v>301494</v>
      </c>
      <c r="E34" s="101">
        <f>IF(ISERROR([1]C062!$E$33),0,[1]C062!$E$33+[1]C062!$E$35+[1]C062!$E$37+[1]C062!$E$39)</f>
        <v>0</v>
      </c>
      <c r="F34" s="101">
        <f>[1]C062!$E$42</f>
        <v>0</v>
      </c>
      <c r="G34" s="101">
        <f>IF(ISERROR([1]C062!$E$19),0,[1]C062!$E$19)</f>
        <v>0</v>
      </c>
      <c r="H34" s="102"/>
      <c r="I34" s="101">
        <f>IF(ISERROR([1]C062!$E$16),0,[1]C062!$E$16+[1]C062!$E$17+[1]C062!$E$18+[1]C062!$E$21+[1]C062!$E$24+[1]C062!$E$26+[1]C062!$E$28+[1]C062!$E$30)</f>
        <v>166491</v>
      </c>
      <c r="J34" s="107">
        <f>IF(ISERROR([1]C062!$E$57),0,[1]C062!$E$57)</f>
        <v>313085</v>
      </c>
      <c r="K34" s="88"/>
      <c r="Y34" s="62" t="str">
        <f>B34</f>
        <v>Bond and Interest #1</v>
      </c>
      <c r="Z34" s="69">
        <f>[1]C062!$D$33+[1]C062!$D$35+[1]C062!$D$37+[1]C062!$D$39</f>
        <v>0</v>
      </c>
      <c r="AA34" s="64">
        <f>[1]C062!$D$42</f>
        <v>0</v>
      </c>
      <c r="AB34" s="67">
        <f>[1]C062!$D$19</f>
        <v>0</v>
      </c>
      <c r="AC34" s="21"/>
      <c r="AD34" s="67">
        <f>[1]C062!$D$15+[1]C062!$D$16+[1]C062!$D$18+[1]C062!$D$21+[1]C062!$D$24+[1]C062!$D$26+[1]C062!$D$28+[1]C062!$D$30</f>
        <v>165809</v>
      </c>
      <c r="AF34" s="62" t="str">
        <f>B34</f>
        <v>Bond and Interest #1</v>
      </c>
      <c r="AG34" s="69">
        <f>[1]C062!$C$33+[1]C062!$C$35+[1]C062!$C$37+[1]C062!$C$39</f>
        <v>0</v>
      </c>
      <c r="AH34" s="64">
        <f>[1]C062!$C$42</f>
        <v>0</v>
      </c>
      <c r="AI34" s="67">
        <f>[1]C062!$C$19</f>
        <v>0</v>
      </c>
      <c r="AJ34" s="21"/>
      <c r="AK34" s="67">
        <f>[1]C062!$C$14+[1]C062!$C$15+[1]C062!$C$18+[1]C062!$C$21+[1]C062!$C$24+[1]C062!$C$26+[1]C062!$C$28+[1]C062!$C$30</f>
        <v>169690</v>
      </c>
    </row>
    <row r="35" spans="2:37">
      <c r="B35" s="114" t="str">
        <f>[1]OpenData!$O$46</f>
        <v>Bond and Interest #2</v>
      </c>
      <c r="C35" s="98">
        <f>[1]CO99!$H$46</f>
        <v>0</v>
      </c>
      <c r="D35" s="98">
        <f>IF(ISERROR([1]C063!$E$9),0,[1]C063!$E$9)</f>
        <v>0</v>
      </c>
      <c r="E35" s="98">
        <f>IF(ISERROR([1]C063!$E$33),0,[1]C063!$E$33+[1]C063!$E$35+[1]C063!$E$37+[1]C063!$E$39)</f>
        <v>0</v>
      </c>
      <c r="F35" s="98">
        <f>[1]C063!$E$42</f>
        <v>0</v>
      </c>
      <c r="G35" s="108">
        <f>IF(ISERROR([1]C063!$E$19),0,[1]C063!$E$19)</f>
        <v>0</v>
      </c>
      <c r="H35" s="98"/>
      <c r="I35" s="98">
        <f>IF(ISERROR([1]C063!$E$16),0,[1]C063!$E$16+[1]C063!$E$17+[1]C063!$E$18+[1]C063!$E$21+[1]C063!$E$24+[1]C063!$E$26+[1]C063!$E$28+[1]C063!$E$30)</f>
        <v>0</v>
      </c>
      <c r="J35" s="99">
        <f>IF(ISERROR([1]C063!$E$57),0,[1]C063!$E$57)</f>
        <v>0</v>
      </c>
      <c r="K35" s="88"/>
      <c r="Y35" s="61" t="str">
        <f>B35</f>
        <v>Bond and Interest #2</v>
      </c>
      <c r="Z35" s="70">
        <f>[1]C063!$D$33+[1]C063!$D$35+[1]C063!$D$37+[1]C063!$D$39</f>
        <v>0</v>
      </c>
      <c r="AA35" s="64">
        <f>[1]C063!$D$42</f>
        <v>0</v>
      </c>
      <c r="AB35" s="115">
        <f>[1]C063!$D$19</f>
        <v>0</v>
      </c>
      <c r="AC35" s="23"/>
      <c r="AD35" s="75">
        <f>[1]C063!$D$15+[1]C063!$D$16+[1]C063!$D$18+[1]C063!$D$21+[1]C063!$D$24+[1]C063!$D$26+[1]C063!$D$28+[1]C063!$D$30</f>
        <v>0</v>
      </c>
      <c r="AF35" s="61" t="str">
        <f>B35</f>
        <v>Bond and Interest #2</v>
      </c>
      <c r="AG35" s="70">
        <f>[1]C063!$C$33+[1]C063!$C$35+[1]C063!$C$37+[1]C063!$C$39</f>
        <v>0</v>
      </c>
      <c r="AH35" s="64">
        <f>[1]C063!$C$42</f>
        <v>0</v>
      </c>
      <c r="AI35" s="115">
        <f>[1]C063!$C$19</f>
        <v>0</v>
      </c>
      <c r="AJ35" s="23"/>
      <c r="AK35" s="75">
        <f>[1]C063!$C$14+[1]C063!$C$15+[1]C063!$C$18+[1]C063!$C$21+[1]C063!$C$24+[1]C063!$C$26+[1]C063!$C$28+[1]C063!$C$30</f>
        <v>0</v>
      </c>
    </row>
    <row r="36" spans="2:37">
      <c r="B36" s="16" t="s">
        <v>89</v>
      </c>
      <c r="C36" s="101">
        <f>[1]CO99!$H$47</f>
        <v>0</v>
      </c>
      <c r="D36" s="101">
        <f>IF(ISERROR([1]C066!$E$9),0,[1]C066!$E$9)</f>
        <v>0</v>
      </c>
      <c r="E36" s="102"/>
      <c r="F36" s="102"/>
      <c r="G36" s="102"/>
      <c r="H36" s="102"/>
      <c r="I36" s="101">
        <f>IF(ISERROR([1]C066!$E$16),0,[1]C066!$E$16+[1]C066!$E$17+[1]C066!$E$18+[1]C066!$E$19+[1]C066!$E$22+[1]C066!$E$24+[1]C066!$E$26+[1]C066!$E$28)</f>
        <v>0</v>
      </c>
      <c r="J36" s="107">
        <f>[1]C066!$E$40</f>
        <v>0</v>
      </c>
      <c r="K36" s="88"/>
      <c r="Y36" s="16" t="s">
        <v>89</v>
      </c>
      <c r="Z36" s="20"/>
      <c r="AA36" s="23"/>
      <c r="AB36" s="29"/>
      <c r="AC36" s="23"/>
      <c r="AD36" s="72">
        <f>[1]C066!$D$15+[1]C066!$D$16+[1]C066!$D$18+[1]C066!$D$19+[1]C066!$D$22+[1]C066!$D$24+[1]C066!$D$26+[1]C066!$D$28</f>
        <v>0</v>
      </c>
      <c r="AF36" s="16" t="s">
        <v>89</v>
      </c>
      <c r="AG36" s="20"/>
      <c r="AH36" s="23"/>
      <c r="AI36" s="29"/>
      <c r="AJ36" s="23"/>
      <c r="AK36" s="72">
        <f>[1]C066!$C$14+[1]C066!$C$15+[1]C066!$C$18+[1]C066!$C$19+[1]C066!$C$22+[1]C066!$C$24+[1]C066!$C$26+[1]C066!$C$28</f>
        <v>0</v>
      </c>
    </row>
    <row r="37" spans="2:37">
      <c r="B37" s="105" t="s">
        <v>59</v>
      </c>
      <c r="C37" s="98">
        <f>[1]CO99!$H$48</f>
        <v>0</v>
      </c>
      <c r="D37" s="108">
        <f>IF(ISERROR([1]C067!$E$9),0,[1]C067!$E$9)</f>
        <v>0</v>
      </c>
      <c r="E37" s="108"/>
      <c r="F37" s="108"/>
      <c r="G37" s="108"/>
      <c r="H37" s="108"/>
      <c r="I37" s="98">
        <f>IF(ISERROR([1]C067!$E$16),0,[1]C067!$E$16+[1]C067!$E$17+[1]C067!$E$18+[1]C067!$E$19+[1]C067!$E$22+[1]C067!$E$24+[1]C067!$E$26+[1]C067!$E$28)</f>
        <v>0</v>
      </c>
      <c r="J37" s="99">
        <f>[1]C067!$E$38</f>
        <v>0</v>
      </c>
      <c r="K37" s="88"/>
      <c r="Y37" s="16" t="s">
        <v>59</v>
      </c>
      <c r="Z37" s="21"/>
      <c r="AA37" s="23"/>
      <c r="AB37" s="5"/>
      <c r="AC37" s="23"/>
      <c r="AD37" s="72">
        <f>[1]C067!$D$15+[1]C067!$D$16+[1]C067!$D$18+[1]C067!$D$19+[1]C067!$D$22+[1]C067!$D$24+[1]C067!$D$26+[1]C067!$D$28</f>
        <v>0</v>
      </c>
      <c r="AF37" s="16" t="s">
        <v>59</v>
      </c>
      <c r="AG37" s="21"/>
      <c r="AH37" s="23"/>
      <c r="AI37" s="5"/>
      <c r="AJ37" s="23"/>
      <c r="AK37" s="72">
        <f>[1]C067!$C$14+[1]C067!$C$15+[1]C067!$C$18+[1]C067!$C$19+[1]C067!$C$22+[1]C067!$C$24+[1]C067!$C$26+[1]C067!$C$28</f>
        <v>0</v>
      </c>
    </row>
    <row r="38" spans="2:37">
      <c r="B38" s="16" t="s">
        <v>60</v>
      </c>
      <c r="C38" s="111">
        <f>[1]CO99!$H$49</f>
        <v>0</v>
      </c>
      <c r="D38" s="111">
        <f>IF(ISERROR([1]C068!$E$9),0,[1]C068!$E$9)</f>
        <v>0</v>
      </c>
      <c r="E38" s="102"/>
      <c r="F38" s="102"/>
      <c r="G38" s="107">
        <f>IF(ISERROR([1]C068!$E$19),0,[1]C068!$E$19)</f>
        <v>0</v>
      </c>
      <c r="H38" s="102"/>
      <c r="I38" s="101">
        <f>IF(ISERROR([1]C068!$E$16),0,[1]C068!$E$16+[1]C068!$E$17+[1]C068!$E$18+[1]C068!$E$20+[1]C068!$E$23+[1]C068!$E$25+[1]C068!$E$27+[1]C068!$E$29)</f>
        <v>0</v>
      </c>
      <c r="J38" s="107">
        <f>[1]C068!$E$41</f>
        <v>0</v>
      </c>
      <c r="K38" s="88"/>
      <c r="Y38" s="16" t="s">
        <v>60</v>
      </c>
      <c r="Z38" s="21"/>
      <c r="AA38" s="23"/>
      <c r="AB38" s="73">
        <f>[1]C068!$D$19</f>
        <v>0</v>
      </c>
      <c r="AC38" s="23"/>
      <c r="AD38" s="72">
        <f>[1]C068!$D$15+[1]C068!$D$16+[1]C068!$D$18+[1]C068!$D$20+[1]C068!$D$23+[1]C068!$D$25+[1]C068!$D$27+[1]C068!$D$29</f>
        <v>0</v>
      </c>
      <c r="AF38" s="16" t="s">
        <v>60</v>
      </c>
      <c r="AG38" s="21"/>
      <c r="AH38" s="23"/>
      <c r="AI38" s="73">
        <f>[1]C068!$C$19</f>
        <v>0</v>
      </c>
      <c r="AJ38" s="23"/>
      <c r="AK38" s="72">
        <f>[1]C068!$C$14+[1]C068!$C$15+[1]C068!$C$18+[1]C068!$C$20+[1]C068!$C$23+[1]C068!$C$25+[1]C068!$C$27+[1]C068!$C$29</f>
        <v>0</v>
      </c>
    </row>
    <row r="39" spans="2:37">
      <c r="B39" s="105" t="s">
        <v>116</v>
      </c>
      <c r="C39" s="108">
        <f>[1]CO99!$H$51</f>
        <v>0</v>
      </c>
      <c r="D39" s="98">
        <f>IF(ISERROR([1]C078!$E$9),0,[1]C078!$E$9)</f>
        <v>0</v>
      </c>
      <c r="E39" s="98">
        <f>IF(ISERROR([1]C078!$E$18),0,[1]C078!$E$18)</f>
        <v>0</v>
      </c>
      <c r="F39" s="98">
        <f>IF(ISERROR([1]C078!$E$20),0,[1]C078!$E$20+[1]C078!$E$21+[1]C078!$E$22)</f>
        <v>0</v>
      </c>
      <c r="G39" s="108">
        <f>IF(ISERROR([1]C078!$E$15),0,[1]C078!$E$15)</f>
        <v>0</v>
      </c>
      <c r="H39" s="116"/>
      <c r="I39" s="98">
        <f>IF(ISERROR([1]C078!$E$14),0,[1]C078!$E$14+[1]C078!$E$16)</f>
        <v>0</v>
      </c>
      <c r="J39" s="99">
        <f>[1]C078!$E$25</f>
        <v>0</v>
      </c>
      <c r="K39" s="88"/>
      <c r="Y39" s="16" t="s">
        <v>116</v>
      </c>
      <c r="Z39" s="69">
        <f>[1]C078!$D$18</f>
        <v>0</v>
      </c>
      <c r="AA39" s="67">
        <f>[1]C078!$D$20+[1]C078!$D$21+[1]C078!$D$22</f>
        <v>0</v>
      </c>
      <c r="AB39" s="115">
        <f>[1]C078!$D$15</f>
        <v>0</v>
      </c>
      <c r="AC39" s="30"/>
      <c r="AD39" s="72">
        <f>[1]C078!$D$10+[1]C078!$D$14+[1]C078!$D$16</f>
        <v>0</v>
      </c>
      <c r="AF39" s="16" t="s">
        <v>116</v>
      </c>
      <c r="AG39" s="69">
        <f>[1]C078!$C$18</f>
        <v>0</v>
      </c>
      <c r="AH39" s="67">
        <f>[1]C078!$C$20+[1]C078!$C$21+[1]C078!$C$22</f>
        <v>0</v>
      </c>
      <c r="AI39" s="115">
        <f>[1]C078!$C$15</f>
        <v>0</v>
      </c>
      <c r="AJ39" s="30"/>
      <c r="AK39" s="72">
        <f>[1]C078!$C$10+[1]C078!$C$14+[1]C078!$C$16</f>
        <v>0</v>
      </c>
    </row>
    <row r="40" spans="2:37">
      <c r="B40" s="16" t="s">
        <v>36</v>
      </c>
      <c r="C40" s="101">
        <f>[1]CO99!$H$17</f>
        <v>62800</v>
      </c>
      <c r="D40" s="101">
        <f>IF(ISERROR([1]C07!$E$9),0,[1]C07!$E$9)</f>
        <v>25769</v>
      </c>
      <c r="E40" s="102"/>
      <c r="F40" s="111">
        <f>SUM([1]C07!$E$14:$E$22)</f>
        <v>37031</v>
      </c>
      <c r="G40" s="102"/>
      <c r="H40" s="102"/>
      <c r="I40" s="102"/>
      <c r="J40" s="107">
        <f>[1]C07!$E$25</f>
        <v>0</v>
      </c>
      <c r="K40" s="88"/>
      <c r="Y40" s="16" t="s">
        <v>36</v>
      </c>
      <c r="Z40" s="37" t="s">
        <v>117</v>
      </c>
      <c r="AA40" s="117">
        <f>SUM([1]C07!$D$14:$D$22)</f>
        <v>68845</v>
      </c>
      <c r="AB40" s="38" t="s">
        <v>118</v>
      </c>
      <c r="AC40" s="118" t="s">
        <v>118</v>
      </c>
      <c r="AD40" s="38" t="s">
        <v>117</v>
      </c>
      <c r="AF40" s="16" t="s">
        <v>36</v>
      </c>
      <c r="AG40" s="37" t="s">
        <v>117</v>
      </c>
      <c r="AH40" s="117">
        <f>SUM([1]C07!$C$14:$C$22)</f>
        <v>130300</v>
      </c>
      <c r="AI40" s="38" t="s">
        <v>118</v>
      </c>
      <c r="AJ40" s="118" t="s">
        <v>118</v>
      </c>
      <c r="AK40" s="38" t="s">
        <v>117</v>
      </c>
    </row>
    <row r="41" spans="2:37">
      <c r="B41" s="105" t="s">
        <v>49</v>
      </c>
      <c r="C41" s="98">
        <f>[1]CO99!$H$33</f>
        <v>0</v>
      </c>
      <c r="D41" s="119">
        <f>IF(ISERROR([1]C033!$E$9),0,[1]C033!$E$9)</f>
        <v>0</v>
      </c>
      <c r="E41" s="99"/>
      <c r="F41" s="99"/>
      <c r="G41" s="99"/>
      <c r="H41" s="120">
        <f>C41</f>
        <v>0</v>
      </c>
      <c r="I41" s="98">
        <f>IF(ISERROR([1]C033!$E$17),0,[1]C033!$E$17+[1]C033!$E$19+[1]C033!$E$21+[1]C033!$E$22+[1]C033!$E$23+[1]C033!$E$24+[1]C033!$E$33)</f>
        <v>0</v>
      </c>
      <c r="J41" s="99"/>
      <c r="K41" s="88"/>
      <c r="Y41" s="16" t="s">
        <v>49</v>
      </c>
      <c r="Z41" s="39" t="s">
        <v>117</v>
      </c>
      <c r="AA41" s="40" t="s">
        <v>117</v>
      </c>
      <c r="AB41" s="37" t="s">
        <v>118</v>
      </c>
      <c r="AC41" s="41"/>
      <c r="AD41" s="64">
        <f>[1]C033!$D$16+[1]C033!$D$17+[1]C033!$D$19+[1]C033!$D$21+[1]C033!$D$22+[1]C033!$D$23+[1]C033!$D$24</f>
        <v>0</v>
      </c>
      <c r="AF41" s="16" t="s">
        <v>49</v>
      </c>
      <c r="AG41" s="39" t="s">
        <v>117</v>
      </c>
      <c r="AH41" s="40" t="s">
        <v>117</v>
      </c>
      <c r="AI41" s="37" t="s">
        <v>118</v>
      </c>
      <c r="AJ41" s="41"/>
      <c r="AK41" s="64">
        <f>[1]C033!$C$15+[1]C033!$C$16+[1]C033!$C$19+[1]C033!$C$21+[1]C033!$C$22+[1]C033!$C$23+[1]C033!$C$24</f>
        <v>0</v>
      </c>
    </row>
    <row r="42" spans="2:37">
      <c r="B42" s="121" t="s">
        <v>61</v>
      </c>
      <c r="C42" s="122">
        <f>SUM(C7:C41)</f>
        <v>3185668</v>
      </c>
      <c r="D42" s="122">
        <f>SUM(D7:D41)</f>
        <v>1317345</v>
      </c>
      <c r="E42" s="123">
        <f>SUM(E7:E39)</f>
        <v>1325043</v>
      </c>
      <c r="F42" s="123">
        <f>SUM(F7:F40)</f>
        <v>74578</v>
      </c>
      <c r="G42" s="123">
        <f>SUM(G7:G39)</f>
        <v>0</v>
      </c>
      <c r="H42" s="122">
        <f>SUM(H7:H41)</f>
        <v>380264</v>
      </c>
      <c r="I42" s="122">
        <f>SUM(I7:I41)</f>
        <v>838980</v>
      </c>
      <c r="J42" s="124">
        <f>SUM(J7:J41)</f>
        <v>750542</v>
      </c>
      <c r="K42" s="88"/>
      <c r="Y42" s="125" t="s">
        <v>61</v>
      </c>
      <c r="Z42" s="64">
        <f>SUM(Z7:Z39)</f>
        <v>1248614</v>
      </c>
      <c r="AA42" s="65">
        <f>SUM(AA7:AA40)</f>
        <v>81017</v>
      </c>
      <c r="AB42" s="67">
        <f>SUM(AB7:AB39)</f>
        <v>54819</v>
      </c>
      <c r="AC42" s="72">
        <f>SUM(AC7:AC41)</f>
        <v>515924</v>
      </c>
      <c r="AD42" s="64">
        <f>SUM(AD7:AD41)</f>
        <v>983738</v>
      </c>
      <c r="AF42" s="125" t="s">
        <v>61</v>
      </c>
      <c r="AG42" s="64">
        <f>SUM(AG7:AG39)</f>
        <v>1322126</v>
      </c>
      <c r="AH42" s="65">
        <f>SUM(AH7:AH40)</f>
        <v>146424</v>
      </c>
      <c r="AI42" s="67">
        <f>SUM(AI7:AI39)</f>
        <v>0</v>
      </c>
      <c r="AJ42" s="72">
        <f>SUM(AJ7:AJ41)</f>
        <v>565812</v>
      </c>
      <c r="AK42" s="64">
        <f>SUM(AK7:AK41)</f>
        <v>908997</v>
      </c>
    </row>
    <row r="43" spans="2:37" ht="15" thickBot="1">
      <c r="B43" s="126" t="s">
        <v>119</v>
      </c>
      <c r="C43" s="127">
        <f>[1]CO99!$H$53</f>
        <v>380264</v>
      </c>
      <c r="D43" s="5"/>
      <c r="E43" s="5"/>
      <c r="F43" s="5"/>
      <c r="G43" s="5"/>
      <c r="H43" s="5"/>
      <c r="I43" s="5"/>
      <c r="J43" s="5"/>
      <c r="K43" s="88"/>
    </row>
    <row r="44" spans="2:37" ht="15" thickTop="1">
      <c r="B44" s="128" t="s">
        <v>120</v>
      </c>
      <c r="C44" s="129">
        <f>C42-C43</f>
        <v>2805404</v>
      </c>
      <c r="D44" s="5"/>
      <c r="E44" s="5"/>
      <c r="F44" s="5"/>
      <c r="G44" s="5"/>
      <c r="H44" s="5"/>
      <c r="I44" s="5"/>
      <c r="J44" s="5"/>
      <c r="K44" s="88"/>
    </row>
    <row r="45" spans="2:37">
      <c r="B45" s="5"/>
      <c r="C45" s="5"/>
      <c r="D45" s="5"/>
      <c r="E45" s="5"/>
      <c r="F45" s="5"/>
      <c r="G45" s="5"/>
      <c r="H45" s="130"/>
      <c r="I45" s="5"/>
      <c r="J45" s="5"/>
    </row>
    <row r="46" spans="2:37" ht="22.5" customHeight="1">
      <c r="C46" s="881" t="s">
        <v>162</v>
      </c>
      <c r="D46" s="881"/>
      <c r="E46" s="881"/>
      <c r="F46" s="881"/>
      <c r="G46" s="881"/>
      <c r="H46" s="131"/>
      <c r="I46" s="131"/>
      <c r="J46" s="131"/>
    </row>
    <row r="47" spans="2:37" ht="6.75" customHeight="1">
      <c r="B47" s="5"/>
      <c r="C47" s="5"/>
      <c r="D47" s="5"/>
      <c r="E47" s="5"/>
      <c r="F47" s="5"/>
      <c r="G47" s="5"/>
      <c r="H47" s="5"/>
      <c r="I47" s="5"/>
      <c r="J47" s="5"/>
    </row>
    <row r="48" spans="2:37">
      <c r="B48" s="5"/>
      <c r="C48" s="5"/>
      <c r="D48" s="5"/>
      <c r="E48" s="132" t="str">
        <f>SUMEXPEN!D4</f>
        <v>2023-2024</v>
      </c>
      <c r="F48" s="133" t="str">
        <f>SUMEXPEN!F4</f>
        <v>2024-2025</v>
      </c>
      <c r="G48" s="132" t="str">
        <f>SUMEXPEN!I4</f>
        <v>2025-2026</v>
      </c>
      <c r="H48" s="5"/>
      <c r="I48" s="5"/>
      <c r="J48" s="5"/>
    </row>
    <row r="49" spans="2:13">
      <c r="B49" s="5"/>
      <c r="C49" s="873" t="s">
        <v>121</v>
      </c>
      <c r="D49" s="874"/>
      <c r="E49" s="134">
        <f>AG42</f>
        <v>1322126</v>
      </c>
      <c r="F49" s="135">
        <f>Z42</f>
        <v>1248614</v>
      </c>
      <c r="G49" s="135">
        <f>E42</f>
        <v>1325043</v>
      </c>
      <c r="H49" s="136"/>
      <c r="I49" s="5"/>
      <c r="J49" s="5"/>
    </row>
    <row r="50" spans="2:13">
      <c r="B50" s="5"/>
      <c r="C50" s="875" t="s">
        <v>122</v>
      </c>
      <c r="D50" s="876"/>
      <c r="E50" s="64">
        <f>AH42</f>
        <v>146424</v>
      </c>
      <c r="F50" s="64">
        <f>AA42</f>
        <v>81017</v>
      </c>
      <c r="G50" s="64">
        <f>F42</f>
        <v>74578</v>
      </c>
      <c r="H50" s="130"/>
      <c r="I50" s="5"/>
      <c r="J50" s="5"/>
    </row>
    <row r="51" spans="2:13" ht="16.5" thickBot="1">
      <c r="B51" s="5"/>
      <c r="C51" s="877" t="s">
        <v>196</v>
      </c>
      <c r="D51" s="878"/>
      <c r="E51" s="137">
        <f>AI42+AK42</f>
        <v>908997</v>
      </c>
      <c r="F51" s="137">
        <f>AB42+AD42</f>
        <v>1038557</v>
      </c>
      <c r="G51" s="137">
        <f>G42+I42</f>
        <v>838980</v>
      </c>
      <c r="H51" s="5"/>
      <c r="I51" s="58"/>
      <c r="J51" s="5"/>
      <c r="M51" s="58"/>
    </row>
    <row r="52" spans="2:13" ht="15" thickTop="1">
      <c r="B52" s="136"/>
      <c r="C52" s="879" t="s">
        <v>123</v>
      </c>
      <c r="D52" s="880"/>
      <c r="E52" s="138">
        <f>SUM(E49:E51)</f>
        <v>2377547</v>
      </c>
      <c r="F52" s="138">
        <f>SUM(F49:F51)</f>
        <v>2368188</v>
      </c>
      <c r="G52" s="138">
        <f>SUM(G49:G51)</f>
        <v>2238601</v>
      </c>
      <c r="H52" s="5"/>
      <c r="I52" s="5"/>
      <c r="J52" s="5"/>
    </row>
    <row r="53" spans="2:13">
      <c r="B53" s="5"/>
      <c r="C53" s="875" t="s">
        <v>124</v>
      </c>
      <c r="D53" s="876"/>
      <c r="E53" s="64">
        <f>E52/SUMEXPEN!G1312</f>
        <v>33629</v>
      </c>
      <c r="F53" s="64">
        <f>F52/SUMEXPEN!I1312</f>
        <v>28705</v>
      </c>
      <c r="G53" s="64">
        <f>IF(SUMEXPEN!K1312=0,0,G52/SUMEXPEN!K1312)</f>
        <v>31980</v>
      </c>
      <c r="H53" s="5"/>
      <c r="I53" s="5"/>
      <c r="J53" s="5"/>
    </row>
    <row r="54" spans="2:13" ht="6.75" customHeight="1">
      <c r="B54" s="5"/>
      <c r="C54" s="5"/>
      <c r="D54" s="130"/>
      <c r="E54" s="27"/>
      <c r="F54" s="27"/>
      <c r="G54" s="27"/>
      <c r="H54" s="5"/>
      <c r="I54" s="5"/>
      <c r="J54" s="5"/>
    </row>
    <row r="55" spans="2:13">
      <c r="B55" s="5"/>
      <c r="C55" s="866" t="s">
        <v>195</v>
      </c>
      <c r="D55" s="866"/>
      <c r="E55" s="866"/>
      <c r="F55" s="866"/>
      <c r="G55" s="866"/>
      <c r="H55" s="5"/>
      <c r="I55" s="5"/>
      <c r="J55" s="5"/>
    </row>
    <row r="56" spans="2:13" ht="6.75" customHeight="1"/>
    <row r="57" spans="2:13" ht="33" customHeight="1">
      <c r="B57" s="870" t="s">
        <v>165</v>
      </c>
      <c r="C57" s="870"/>
      <c r="D57" s="870"/>
      <c r="E57" s="870"/>
      <c r="F57" s="870"/>
      <c r="G57" s="870"/>
      <c r="H57" s="870"/>
      <c r="I57" s="870"/>
      <c r="J57" s="870"/>
    </row>
    <row r="58" spans="2:13">
      <c r="B58" s="866"/>
      <c r="C58" s="866"/>
      <c r="D58" s="866"/>
      <c r="E58" s="866"/>
      <c r="F58" s="866"/>
      <c r="G58" s="866"/>
      <c r="H58" s="866"/>
      <c r="I58" s="866"/>
      <c r="J58" s="866"/>
    </row>
    <row r="59" spans="2:13">
      <c r="D59" s="866"/>
      <c r="E59" s="866"/>
      <c r="F59" s="866"/>
      <c r="G59" s="866"/>
    </row>
    <row r="60" spans="2:13">
      <c r="D60" s="866"/>
      <c r="E60" s="866"/>
      <c r="F60" s="866"/>
      <c r="G60" s="866"/>
      <c r="H60" s="139"/>
    </row>
  </sheetData>
  <sheetProtection algorithmName="SHA-512" hashValue="9Uc7BbQTe72A90GrweDj1NozQRvz2HPd6hXeof/63nFuV/U/W1FFYkEl6LWExrS9u9z8Svsbtd6dgLG8RFeHXA==" saltValue="Tp70nuOI93RY0GKxvGxj7Q==" spinCount="100000" sheet="1" objects="1" scenarios="1"/>
  <customSheetViews>
    <customSheetView guid="{C7C7AC58-22C5-451E-8108-D7214AD66698}" showPageBreaks="1" showGridLines="0" printArea="1">
      <selection activeCell="B1" sqref="B1"/>
      <pageMargins left="0.25" right="0.25" top="0.25" bottom="0.25" header="0.3" footer="0.3"/>
      <printOptions horizontalCentered="1"/>
      <pageSetup scale="65" orientation="portrait" r:id="rId1"/>
      <headerFooter>
        <oddFooter>&amp;L&amp;"Open Sans Light,Regular"&amp;10&amp;D &amp;T&amp;C&amp;"Open Sans Light,Regular"&amp;10&amp;F&amp;R&amp;"Open Sans Light,Regular"&amp;10Page &amp;P of &amp;N</oddFooter>
      </headerFooter>
    </customSheetView>
  </customSheetViews>
  <mergeCells count="14">
    <mergeCell ref="D60:G60"/>
    <mergeCell ref="B4:B6"/>
    <mergeCell ref="D59:G59"/>
    <mergeCell ref="B57:J57"/>
    <mergeCell ref="B58:J58"/>
    <mergeCell ref="E5:E6"/>
    <mergeCell ref="F5:F6"/>
    <mergeCell ref="C49:D49"/>
    <mergeCell ref="C50:D50"/>
    <mergeCell ref="C51:D51"/>
    <mergeCell ref="C52:D52"/>
    <mergeCell ref="C53:D53"/>
    <mergeCell ref="C55:G55"/>
    <mergeCell ref="C46:G46"/>
  </mergeCells>
  <printOptions horizontalCentered="1"/>
  <pageMargins left="0.25" right="0.25" top="0.25" bottom="0.25" header="0.3" footer="0.3"/>
  <pageSetup scale="65" orientation="portrait" r:id="rId2"/>
  <headerFooter>
    <oddFooter xml:space="preserve">&amp;L&amp;"Arial,Regular"&amp;10&amp;D &amp;T&amp;C&amp;"Arial,Regular"&amp;10&amp;F&amp;R&amp;"Arial,Regular"&amp;10Page &amp;P </oddFooter>
  </headerFooter>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1:O1"/>
  <sheetViews>
    <sheetView workbookViewId="0">
      <selection sqref="A1:O1"/>
    </sheetView>
  </sheetViews>
  <sheetFormatPr defaultColWidth="9.140625" defaultRowHeight="14.25"/>
  <cols>
    <col min="1" max="14" width="9.140625" style="80"/>
    <col min="15" max="15" width="7.5703125" style="80" customWidth="1"/>
    <col min="16" max="16384" width="9.140625" style="80"/>
  </cols>
  <sheetData>
    <row r="1" spans="1:15" ht="25.5">
      <c r="A1" s="882" t="str">
        <f>CONCATENATE("USD ", [1]OPEN!$B$4, " - ", [1]OPEN!$B$3)</f>
        <v>USD 225 - Fowler</v>
      </c>
      <c r="B1" s="882"/>
      <c r="C1" s="882"/>
      <c r="D1" s="882"/>
      <c r="E1" s="882"/>
      <c r="F1" s="882"/>
      <c r="G1" s="882"/>
      <c r="H1" s="882"/>
      <c r="I1" s="882"/>
      <c r="J1" s="882"/>
      <c r="K1" s="882"/>
      <c r="L1" s="882"/>
      <c r="M1" s="882"/>
      <c r="N1" s="882"/>
      <c r="O1" s="882"/>
    </row>
  </sheetData>
  <sheetProtection algorithmName="SHA-512" hashValue="vvojajDKhNYseRRqn2dwO1q/g4dtplLBBgRk6Rhm7jQbMBvsBrK6APx+UYXFW58SVevP1KPQSKZkDZ+knBweMg==" saltValue="lON/xEdXWCA9xbWDm2el8w==" spinCount="100000" sheet="1" objects="1" scenarios="1"/>
  <customSheetViews>
    <customSheetView guid="{C7C7AC58-22C5-451E-8108-D7214AD66698}" showPageBreaks="1" printArea="1">
      <selection sqref="A1:O1"/>
      <pageMargins left="0.25" right="0.25" top="0.25" bottom="0.25" header="0.3" footer="0.3"/>
      <pageSetup scale="75" orientation="portrait" r:id="rId1"/>
      <headerFooter>
        <oddFooter>&amp;L&amp;"Open Sans Light,Regular"&amp;10
&amp;D &amp;T&amp;C&amp;"Open Sans Light,Regular"&amp;10Note: Numbers on charts are within 1% due to rounding.
&amp;F&amp;R&amp;"Open Sans Light,Regular"&amp;10
Page &amp;P of &amp;N</oddFooter>
      </headerFooter>
    </customSheetView>
  </customSheetViews>
  <mergeCells count="1">
    <mergeCell ref="A1:O1"/>
  </mergeCells>
  <pageMargins left="0.25" right="0.25" top="0.25" bottom="0.25" header="0.3" footer="0.3"/>
  <pageSetup scale="74" orientation="portrait" r:id="rId2"/>
  <headerFooter>
    <oddFooter xml:space="preserve">&amp;L&amp;"Arial,Regular"&amp;10
&amp;D &amp;T&amp;C&amp;"Arial,Regular"&amp;10Note: Numbers on charts are within 1% due to rounding.
&amp;F&amp;R&amp;"Open Sans Light,Regular"&amp;10
&amp;"Arial,Regular"Page &amp;P </oddFooter>
  </headerFooter>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ACB914-A875-4732-BF4B-652F0C7EF372}">
  <sheetPr>
    <pageSetUpPr fitToPage="1"/>
  </sheetPr>
  <dimension ref="A1:N743"/>
  <sheetViews>
    <sheetView showGridLines="0" tabSelected="1" zoomScaleNormal="100" zoomScaleSheetLayoutView="70" zoomScalePageLayoutView="55" workbookViewId="0">
      <pane ySplit="1" topLeftCell="A172" activePane="bottomLeft" state="frozen"/>
      <selection pane="bottomLeft" activeCell="N225" sqref="N225"/>
    </sheetView>
  </sheetViews>
  <sheetFormatPr defaultColWidth="0" defaultRowHeight="15"/>
  <cols>
    <col min="1" max="1" width="31.28515625" customWidth="1"/>
    <col min="2" max="2" width="14" customWidth="1"/>
    <col min="3" max="3" width="11.85546875" customWidth="1"/>
    <col min="4" max="4" width="13.7109375" customWidth="1"/>
    <col min="5" max="5" width="12.42578125" customWidth="1"/>
    <col min="6" max="6" width="17.5703125" customWidth="1"/>
    <col min="7" max="7" width="11.85546875" customWidth="1"/>
    <col min="8" max="8" width="12.42578125" customWidth="1"/>
    <col min="9" max="9" width="12.28515625" customWidth="1"/>
    <col min="10" max="10" width="9.7109375" customWidth="1"/>
    <col min="11" max="11" width="23.42578125" bestFit="1" customWidth="1"/>
    <col min="12" max="14" width="11.7109375" customWidth="1"/>
    <col min="15" max="25" width="10.5703125" customWidth="1"/>
    <col min="26" max="739" width="3.7109375" customWidth="1"/>
  </cols>
  <sheetData>
    <row r="1" spans="1:10" s="624" customFormat="1">
      <c r="A1" s="525" t="s">
        <v>261</v>
      </c>
      <c r="B1" s="623"/>
      <c r="C1" s="623"/>
      <c r="D1" s="623"/>
      <c r="E1" s="623"/>
      <c r="F1" s="623"/>
      <c r="G1" s="623"/>
      <c r="H1" s="623"/>
      <c r="I1" s="622" t="str">
        <f>SUMEXPEN!B1</f>
        <v>2025-2026</v>
      </c>
      <c r="J1" s="620" t="str">
        <f>" | USD #"&amp;SUMEXPEN!L1</f>
        <v xml:space="preserve"> | USD #225</v>
      </c>
    </row>
    <row r="2" spans="1:10" ht="15.75">
      <c r="A2" s="139"/>
      <c r="B2" s="549"/>
      <c r="C2" s="549"/>
      <c r="D2" s="549"/>
      <c r="E2" s="549"/>
      <c r="F2" s="549"/>
      <c r="G2" s="549"/>
      <c r="H2" s="549"/>
      <c r="I2" s="549"/>
      <c r="J2" s="516"/>
    </row>
    <row r="3" spans="1:10" ht="15.75">
      <c r="A3" s="139"/>
      <c r="B3" s="549"/>
      <c r="C3" s="549"/>
      <c r="D3" s="549"/>
      <c r="E3" s="549"/>
      <c r="F3" s="549"/>
      <c r="G3" s="549"/>
      <c r="H3" s="549"/>
      <c r="I3" s="549"/>
      <c r="J3" s="516"/>
    </row>
    <row r="4" spans="1:10" ht="15.75">
      <c r="A4" s="139"/>
      <c r="B4" s="549"/>
      <c r="C4" s="549"/>
      <c r="D4" s="549"/>
      <c r="E4" s="549"/>
      <c r="F4" s="549"/>
      <c r="G4" s="549"/>
      <c r="H4" s="549"/>
      <c r="I4" s="549"/>
      <c r="J4" s="516"/>
    </row>
    <row r="5" spans="1:10" ht="15.75">
      <c r="A5" s="139"/>
      <c r="B5" s="549"/>
      <c r="C5" s="549"/>
      <c r="D5" s="549"/>
      <c r="E5" s="549"/>
      <c r="F5" s="549"/>
      <c r="G5" s="549"/>
      <c r="H5" s="549"/>
      <c r="I5" s="549"/>
      <c r="J5" s="516"/>
    </row>
    <row r="6" spans="1:10" ht="15.75">
      <c r="A6" s="139"/>
      <c r="B6" s="549"/>
      <c r="C6" s="549"/>
      <c r="D6" s="549"/>
      <c r="E6" s="549"/>
      <c r="F6" s="549"/>
      <c r="G6" s="549"/>
      <c r="H6" s="549"/>
      <c r="I6" s="549"/>
      <c r="J6" s="516"/>
    </row>
    <row r="7" spans="1:10" ht="15.75">
      <c r="A7" s="139"/>
      <c r="B7" s="549"/>
      <c r="C7" s="549"/>
      <c r="D7" s="549"/>
      <c r="E7" s="549"/>
      <c r="F7" s="549"/>
      <c r="G7" s="549"/>
      <c r="H7" s="549"/>
      <c r="I7" s="549"/>
      <c r="J7" s="516"/>
    </row>
    <row r="8" spans="1:10" ht="15.75">
      <c r="A8" s="139"/>
      <c r="B8" s="549"/>
      <c r="C8" s="549"/>
      <c r="D8" s="549"/>
      <c r="E8" s="549"/>
      <c r="F8" s="549"/>
      <c r="G8" s="549"/>
      <c r="H8" s="549"/>
      <c r="I8" s="549"/>
      <c r="J8" s="516"/>
    </row>
    <row r="9" spans="1:10" ht="15.75">
      <c r="A9" s="139"/>
      <c r="B9" s="549"/>
      <c r="C9" s="549"/>
      <c r="D9" s="549"/>
      <c r="E9" s="549"/>
      <c r="F9" s="549"/>
      <c r="G9" s="549"/>
      <c r="H9" s="549"/>
      <c r="I9" s="549"/>
      <c r="J9" s="516"/>
    </row>
    <row r="10" spans="1:10" ht="15.75">
      <c r="A10" s="139"/>
      <c r="B10" s="549"/>
      <c r="C10" s="549"/>
      <c r="D10" s="549"/>
      <c r="E10" s="549"/>
      <c r="F10" s="549"/>
      <c r="G10" s="549"/>
      <c r="H10" s="549"/>
      <c r="I10" s="549"/>
      <c r="J10" s="516"/>
    </row>
    <row r="11" spans="1:10" ht="15.75">
      <c r="A11" s="139"/>
      <c r="B11" s="549"/>
      <c r="C11" s="549"/>
      <c r="D11" s="549"/>
      <c r="E11" s="549"/>
      <c r="F11" s="549"/>
      <c r="G11" s="549"/>
      <c r="H11" s="549"/>
      <c r="I11" s="549"/>
      <c r="J11" s="516"/>
    </row>
    <row r="12" spans="1:10" ht="15.75">
      <c r="A12" s="139"/>
      <c r="B12" s="549"/>
      <c r="C12" s="549"/>
      <c r="D12" s="549"/>
      <c r="E12" s="549"/>
      <c r="F12" s="549"/>
      <c r="G12" s="549"/>
      <c r="H12" s="549"/>
      <c r="I12" s="549"/>
      <c r="J12" s="516"/>
    </row>
    <row r="13" spans="1:10" ht="15.75">
      <c r="A13" s="139"/>
      <c r="B13" s="549"/>
      <c r="C13" s="549"/>
      <c r="D13" s="549"/>
      <c r="E13" s="549"/>
      <c r="F13" s="549"/>
      <c r="G13" s="549"/>
      <c r="H13" s="549"/>
      <c r="I13" s="549"/>
      <c r="J13" s="516"/>
    </row>
    <row r="14" spans="1:10" ht="15.75">
      <c r="A14" s="139"/>
      <c r="B14" s="549"/>
      <c r="C14" s="549"/>
      <c r="D14" s="549"/>
      <c r="E14" s="549"/>
      <c r="F14" s="549"/>
      <c r="G14" s="549"/>
      <c r="H14" s="549"/>
      <c r="I14" s="549"/>
      <c r="J14" s="516"/>
    </row>
    <row r="15" spans="1:10" ht="15.75">
      <c r="A15" s="139"/>
      <c r="B15" s="549"/>
      <c r="C15" s="549"/>
      <c r="D15" s="549"/>
      <c r="E15" s="549"/>
      <c r="F15" s="549"/>
      <c r="G15" s="549"/>
      <c r="H15" s="549"/>
      <c r="I15" s="549"/>
      <c r="J15" s="516"/>
    </row>
    <row r="16" spans="1:10" ht="15.75">
      <c r="A16" s="139"/>
      <c r="B16" s="549"/>
      <c r="C16" s="549"/>
      <c r="D16" s="549"/>
      <c r="E16" s="549"/>
      <c r="F16" s="549"/>
      <c r="G16" s="549"/>
      <c r="H16" s="549"/>
      <c r="I16" s="549"/>
      <c r="J16" s="516"/>
    </row>
    <row r="17" spans="1:10" ht="15.75">
      <c r="A17" s="139"/>
      <c r="B17" s="549"/>
      <c r="C17" s="549"/>
      <c r="D17" s="549"/>
      <c r="E17" s="549"/>
      <c r="F17" s="549"/>
      <c r="G17" s="549"/>
      <c r="H17" s="549"/>
      <c r="I17" s="549"/>
      <c r="J17" s="516"/>
    </row>
    <row r="18" spans="1:10" ht="15.75">
      <c r="A18" s="139"/>
      <c r="B18" s="549"/>
      <c r="C18" s="549"/>
      <c r="D18" s="549"/>
      <c r="E18" s="549"/>
      <c r="F18" s="549"/>
      <c r="G18" s="549"/>
      <c r="H18" s="549"/>
      <c r="I18" s="549"/>
      <c r="J18" s="516"/>
    </row>
    <row r="19" spans="1:10" ht="15.75">
      <c r="A19" s="139"/>
      <c r="B19" s="549"/>
      <c r="C19" s="549"/>
      <c r="D19" s="549"/>
      <c r="E19" s="549"/>
      <c r="F19" s="549"/>
      <c r="G19" s="549"/>
      <c r="H19" s="549"/>
      <c r="I19" s="549"/>
      <c r="J19" s="516"/>
    </row>
    <row r="20" spans="1:10" ht="15.75">
      <c r="A20" s="139"/>
      <c r="B20" s="549"/>
      <c r="C20" s="549"/>
      <c r="D20" s="549"/>
      <c r="E20" s="549"/>
      <c r="F20" s="549"/>
      <c r="G20" s="549"/>
      <c r="H20" s="549"/>
      <c r="I20" s="549"/>
      <c r="J20" s="516"/>
    </row>
    <row r="21" spans="1:10" ht="15.75">
      <c r="A21" s="139"/>
      <c r="B21" s="549"/>
      <c r="C21" s="549"/>
      <c r="D21" s="549"/>
      <c r="E21" s="549"/>
      <c r="F21" s="549"/>
      <c r="G21" s="549"/>
      <c r="H21" s="549"/>
      <c r="I21" s="549"/>
      <c r="J21" s="516"/>
    </row>
    <row r="22" spans="1:10" ht="15.75">
      <c r="A22" s="139"/>
      <c r="B22" s="549"/>
      <c r="C22" s="549"/>
      <c r="D22" s="549"/>
      <c r="E22" s="549"/>
      <c r="F22" s="549"/>
      <c r="G22" s="549"/>
      <c r="H22" s="549"/>
      <c r="I22" s="549"/>
      <c r="J22" s="516"/>
    </row>
    <row r="23" spans="1:10" ht="81">
      <c r="A23" s="973" t="s">
        <v>197</v>
      </c>
      <c r="B23" s="974"/>
      <c r="C23" s="974"/>
      <c r="D23" s="974"/>
      <c r="E23" s="974"/>
      <c r="F23" s="974"/>
      <c r="G23" s="974"/>
      <c r="H23" s="974"/>
      <c r="I23" s="974"/>
      <c r="J23" s="974"/>
    </row>
    <row r="24" spans="1:10" ht="15.75" customHeight="1">
      <c r="C24" s="547"/>
      <c r="D24" s="547"/>
      <c r="E24" s="547"/>
      <c r="F24" s="547"/>
      <c r="G24" s="547"/>
      <c r="H24" s="547"/>
      <c r="I24" s="547"/>
      <c r="J24" s="547"/>
    </row>
    <row r="25" spans="1:10" ht="29.25">
      <c r="A25" s="977" t="str">
        <f>CONCATENATE([1]OPEN!$B$4, " - ", [1]OPEN!$B$3)</f>
        <v>225 - Fowler</v>
      </c>
      <c r="B25" s="977"/>
      <c r="C25" s="977"/>
      <c r="D25" s="977"/>
      <c r="E25" s="977"/>
      <c r="F25" s="977"/>
      <c r="G25" s="977"/>
      <c r="H25" s="80"/>
      <c r="I25" s="80"/>
      <c r="J25" s="544"/>
    </row>
    <row r="26" spans="1:10" ht="46.5" customHeight="1">
      <c r="B26" s="80"/>
      <c r="C26" s="80"/>
      <c r="D26" s="80"/>
      <c r="E26" s="80"/>
      <c r="F26" s="80"/>
      <c r="G26" s="80"/>
      <c r="H26" s="80"/>
      <c r="I26" s="80"/>
      <c r="J26" s="80"/>
    </row>
    <row r="27" spans="1:10" ht="29.25">
      <c r="A27" s="976" t="str">
        <f>SUMEXPEN!B1</f>
        <v>2025-2026</v>
      </c>
      <c r="B27" s="976"/>
      <c r="C27" s="976"/>
      <c r="D27" s="976"/>
      <c r="E27" s="976"/>
      <c r="F27" s="976"/>
      <c r="G27" s="976"/>
      <c r="H27" s="80"/>
      <c r="I27" s="80"/>
      <c r="J27" s="80"/>
    </row>
    <row r="28" spans="1:10" ht="29.25">
      <c r="A28" s="619"/>
      <c r="B28" s="619"/>
      <c r="C28" s="619"/>
      <c r="D28" s="619"/>
      <c r="E28" s="619"/>
      <c r="F28" s="619"/>
      <c r="G28" s="619"/>
      <c r="H28" s="80"/>
      <c r="I28" s="80"/>
      <c r="J28" s="80"/>
    </row>
    <row r="29" spans="1:10" ht="29.25">
      <c r="A29" s="619"/>
      <c r="B29" s="619"/>
      <c r="C29" s="619"/>
      <c r="D29" s="619"/>
      <c r="E29" s="619"/>
      <c r="F29" s="619"/>
      <c r="G29" s="619"/>
      <c r="H29" s="80"/>
      <c r="I29" s="80"/>
      <c r="J29" s="80"/>
    </row>
    <row r="30" spans="1:10" ht="29.25">
      <c r="A30" s="619"/>
      <c r="B30" s="619"/>
      <c r="C30" s="619"/>
      <c r="D30" s="619"/>
      <c r="E30" s="619"/>
      <c r="F30" s="619"/>
      <c r="G30" s="619"/>
      <c r="H30" s="80"/>
      <c r="I30" s="80"/>
      <c r="J30" s="80"/>
    </row>
    <row r="31" spans="1:10" ht="29.25">
      <c r="A31" s="619"/>
      <c r="B31" s="619"/>
      <c r="C31" s="619"/>
      <c r="D31" s="619"/>
      <c r="E31" s="619"/>
      <c r="F31" s="619"/>
      <c r="G31" s="619"/>
      <c r="H31" s="80"/>
      <c r="I31" s="80"/>
      <c r="J31" s="80"/>
    </row>
    <row r="32" spans="1:10" ht="29.25">
      <c r="A32" s="619"/>
      <c r="B32" s="619"/>
      <c r="C32" s="619"/>
      <c r="D32" s="619"/>
      <c r="E32" s="619"/>
      <c r="F32" s="619"/>
      <c r="G32" s="619"/>
      <c r="H32" s="80"/>
      <c r="I32" s="80"/>
      <c r="J32" s="80"/>
    </row>
    <row r="33" spans="1:10" ht="29.25">
      <c r="A33" s="619"/>
      <c r="B33" s="619"/>
      <c r="C33" s="619"/>
      <c r="D33" s="619"/>
      <c r="E33" s="619"/>
      <c r="F33" s="619"/>
      <c r="G33" s="619"/>
      <c r="H33" s="80"/>
      <c r="I33" s="80"/>
      <c r="J33" s="80"/>
    </row>
    <row r="34" spans="1:10" ht="29.25">
      <c r="A34" s="619"/>
      <c r="B34" s="619"/>
      <c r="C34" s="619"/>
      <c r="D34" s="619"/>
      <c r="E34" s="619"/>
      <c r="F34" s="619"/>
      <c r="G34" s="619"/>
      <c r="H34" s="80"/>
      <c r="I34" s="80"/>
      <c r="J34" s="80"/>
    </row>
    <row r="35" spans="1:10" ht="29.25">
      <c r="A35" s="619"/>
      <c r="B35" s="619"/>
      <c r="C35" s="619"/>
      <c r="D35" s="619"/>
      <c r="E35" s="619"/>
      <c r="F35" s="619"/>
      <c r="G35" s="619"/>
      <c r="H35" s="80"/>
      <c r="I35" s="80"/>
      <c r="J35" s="80"/>
    </row>
    <row r="36" spans="1:10" ht="29.25">
      <c r="A36" s="619"/>
      <c r="B36" s="619"/>
      <c r="C36" s="619"/>
      <c r="D36" s="619"/>
      <c r="E36" s="619"/>
      <c r="F36" s="619"/>
      <c r="G36" s="619"/>
      <c r="H36" s="80"/>
      <c r="I36" s="80"/>
      <c r="J36" s="80"/>
    </row>
    <row r="37" spans="1:10" ht="23.25">
      <c r="A37" s="552"/>
      <c r="B37" s="552"/>
      <c r="C37" s="552"/>
      <c r="D37" s="552"/>
      <c r="E37" s="552"/>
      <c r="F37" s="552"/>
      <c r="G37" s="552"/>
      <c r="H37" s="80"/>
      <c r="I37" s="80"/>
      <c r="J37" s="80"/>
    </row>
    <row r="38" spans="1:10">
      <c r="B38" s="80"/>
      <c r="C38" s="80"/>
      <c r="D38" s="80"/>
      <c r="E38" s="80"/>
      <c r="F38" s="80"/>
      <c r="G38" s="80"/>
      <c r="H38" s="80"/>
      <c r="I38" s="80"/>
      <c r="J38" s="80"/>
    </row>
    <row r="39" spans="1:10" ht="125.25" customHeight="1">
      <c r="C39" s="975" t="s">
        <v>199</v>
      </c>
      <c r="D39" s="975"/>
      <c r="E39" s="975"/>
      <c r="F39" s="975"/>
      <c r="G39" s="975"/>
      <c r="H39" s="975"/>
      <c r="I39" s="975"/>
      <c r="J39" s="975"/>
    </row>
    <row r="40" spans="1:10" ht="36" customHeight="1">
      <c r="B40" s="80"/>
      <c r="C40" s="975"/>
      <c r="D40" s="975"/>
      <c r="E40" s="975"/>
      <c r="F40" s="975"/>
      <c r="G40" s="975"/>
      <c r="H40" s="975"/>
      <c r="I40" s="975"/>
      <c r="J40" s="975"/>
    </row>
    <row r="41" spans="1:10" ht="29.25">
      <c r="A41" s="979" t="s">
        <v>260</v>
      </c>
      <c r="B41" s="979"/>
      <c r="C41" s="979"/>
      <c r="D41" s="979"/>
      <c r="E41" s="979"/>
      <c r="F41" s="979"/>
      <c r="G41" s="979"/>
      <c r="H41" s="979"/>
      <c r="I41" s="979"/>
      <c r="J41" s="979"/>
    </row>
    <row r="42" spans="1:10" ht="6.6" customHeight="1">
      <c r="A42" s="550"/>
      <c r="B42" s="548"/>
      <c r="C42" s="548"/>
      <c r="D42" s="548"/>
      <c r="E42" s="548"/>
      <c r="F42" s="548"/>
      <c r="G42" s="548"/>
      <c r="H42" s="548"/>
      <c r="I42" s="548"/>
      <c r="J42" s="548"/>
    </row>
    <row r="43" spans="1:10" ht="38.25">
      <c r="A43" s="894" t="s">
        <v>198</v>
      </c>
      <c r="B43" s="894"/>
      <c r="C43" s="894"/>
      <c r="D43" s="894"/>
      <c r="E43" s="894"/>
      <c r="F43" s="894"/>
      <c r="G43" s="894"/>
      <c r="H43" s="894"/>
      <c r="I43" s="894"/>
      <c r="J43" s="894"/>
    </row>
    <row r="44" spans="1:10" ht="18" customHeight="1">
      <c r="A44" s="551"/>
      <c r="B44" s="548"/>
      <c r="C44" s="548"/>
      <c r="D44" s="548"/>
      <c r="E44" s="548"/>
      <c r="F44" s="548"/>
      <c r="G44" s="548"/>
      <c r="H44" s="548"/>
      <c r="I44" s="548"/>
      <c r="J44" s="548"/>
    </row>
    <row r="45" spans="1:10" ht="20.25" customHeight="1">
      <c r="A45" s="932" t="s">
        <v>204</v>
      </c>
      <c r="B45" s="932"/>
      <c r="C45" s="932"/>
      <c r="D45" s="932"/>
      <c r="E45" s="932"/>
      <c r="F45" s="932"/>
      <c r="G45" s="932"/>
      <c r="H45" s="932"/>
      <c r="I45" s="932"/>
      <c r="J45" s="559">
        <v>3</v>
      </c>
    </row>
    <row r="46" spans="1:10" ht="20.25">
      <c r="A46" s="560"/>
      <c r="B46" s="560"/>
      <c r="C46" s="560"/>
      <c r="D46" s="560"/>
      <c r="E46" s="560"/>
      <c r="F46" s="560"/>
      <c r="G46" s="560"/>
      <c r="H46" s="559"/>
      <c r="J46" s="559"/>
    </row>
    <row r="47" spans="1:10" ht="20.25" customHeight="1">
      <c r="A47" s="932" t="s">
        <v>203</v>
      </c>
      <c r="B47" s="932"/>
      <c r="C47" s="932"/>
      <c r="D47" s="932"/>
      <c r="E47" s="932"/>
      <c r="F47" s="932"/>
      <c r="G47" s="932"/>
      <c r="H47" s="932"/>
      <c r="I47" s="932"/>
      <c r="J47" s="559">
        <v>4</v>
      </c>
    </row>
    <row r="48" spans="1:10" ht="20.25">
      <c r="A48" s="560"/>
      <c r="B48" s="560"/>
      <c r="C48" s="560"/>
      <c r="D48" s="560"/>
      <c r="E48" s="560"/>
      <c r="F48" s="560"/>
      <c r="G48" s="560"/>
      <c r="H48" s="559"/>
      <c r="J48" s="559"/>
    </row>
    <row r="49" spans="1:10" ht="20.25" customHeight="1">
      <c r="A49" s="932" t="s">
        <v>202</v>
      </c>
      <c r="B49" s="932"/>
      <c r="C49" s="932"/>
      <c r="D49" s="932"/>
      <c r="E49" s="932"/>
      <c r="F49" s="932"/>
      <c r="G49" s="932"/>
      <c r="H49" s="932"/>
      <c r="I49" s="932"/>
      <c r="J49" s="559">
        <v>5</v>
      </c>
    </row>
    <row r="50" spans="1:10" ht="20.25">
      <c r="A50" s="560"/>
      <c r="B50" s="560"/>
      <c r="C50" s="560"/>
      <c r="D50" s="560"/>
      <c r="E50" s="560"/>
      <c r="F50" s="560"/>
      <c r="G50" s="560"/>
      <c r="H50" s="559"/>
      <c r="J50" s="559"/>
    </row>
    <row r="51" spans="1:10" ht="15" customHeight="1">
      <c r="A51" s="932" t="s">
        <v>201</v>
      </c>
      <c r="B51" s="932"/>
      <c r="C51" s="932"/>
      <c r="D51" s="932"/>
      <c r="E51" s="932"/>
      <c r="F51" s="932"/>
      <c r="G51" s="932"/>
      <c r="H51" s="932"/>
      <c r="I51" s="932"/>
      <c r="J51" s="978">
        <v>6</v>
      </c>
    </row>
    <row r="52" spans="1:10" ht="21.75" customHeight="1">
      <c r="A52" s="932"/>
      <c r="B52" s="932"/>
      <c r="C52" s="932"/>
      <c r="D52" s="932"/>
      <c r="E52" s="932"/>
      <c r="F52" s="932"/>
      <c r="G52" s="932"/>
      <c r="H52" s="932"/>
      <c r="I52" s="932"/>
      <c r="J52" s="978"/>
    </row>
    <row r="53" spans="1:10" ht="20.25">
      <c r="A53" s="560"/>
      <c r="B53" s="560"/>
      <c r="C53" s="560"/>
      <c r="D53" s="560"/>
      <c r="E53" s="560"/>
      <c r="F53" s="560"/>
      <c r="G53" s="560"/>
      <c r="H53" s="560"/>
      <c r="J53" s="560"/>
    </row>
    <row r="54" spans="1:10" ht="20.25" customHeight="1">
      <c r="A54" s="932" t="s">
        <v>205</v>
      </c>
      <c r="B54" s="932"/>
      <c r="C54" s="932"/>
      <c r="D54" s="932"/>
      <c r="E54" s="932"/>
      <c r="F54" s="932"/>
      <c r="G54" s="932"/>
      <c r="H54" s="932"/>
      <c r="I54" s="932"/>
      <c r="J54" s="559">
        <v>7</v>
      </c>
    </row>
    <row r="55" spans="1:10" ht="20.25">
      <c r="A55" s="560"/>
      <c r="B55" s="560"/>
      <c r="C55" s="560"/>
      <c r="D55" s="560"/>
      <c r="E55" s="560"/>
      <c r="F55" s="560"/>
      <c r="G55" s="560"/>
      <c r="H55" s="559"/>
      <c r="J55" s="559"/>
    </row>
    <row r="56" spans="1:10" ht="20.25" customHeight="1">
      <c r="A56" s="932" t="str">
        <f>"Sources of Revenue and Proposed Budget for "&amp;SUMEXPEN!B1&amp;"..…............................................…"</f>
        <v>Sources of Revenue and Proposed Budget for 2025-2026..…............................................…</v>
      </c>
      <c r="B56" s="932"/>
      <c r="C56" s="932"/>
      <c r="D56" s="932"/>
      <c r="E56" s="932"/>
      <c r="F56" s="932"/>
      <c r="G56" s="932"/>
      <c r="H56" s="932"/>
      <c r="I56" s="932"/>
      <c r="J56" s="559">
        <v>8</v>
      </c>
    </row>
    <row r="57" spans="1:10" ht="20.25">
      <c r="A57" s="560"/>
      <c r="B57" s="560"/>
      <c r="C57" s="560"/>
      <c r="D57" s="560"/>
      <c r="E57" s="560"/>
      <c r="F57" s="560"/>
      <c r="G57" s="560"/>
      <c r="H57" s="559"/>
      <c r="J57" s="559"/>
    </row>
    <row r="58" spans="1:10" ht="20.25" customHeight="1">
      <c r="A58" s="932" t="s">
        <v>206</v>
      </c>
      <c r="B58" s="932"/>
      <c r="C58" s="932"/>
      <c r="D58" s="932"/>
      <c r="E58" s="932"/>
      <c r="F58" s="932"/>
      <c r="G58" s="932"/>
      <c r="H58" s="932"/>
      <c r="I58" s="932"/>
      <c r="J58" s="559">
        <v>9</v>
      </c>
    </row>
    <row r="59" spans="1:10" ht="20.25">
      <c r="A59" s="560"/>
      <c r="B59" s="560"/>
      <c r="C59" s="560"/>
      <c r="D59" s="560"/>
      <c r="E59" s="560"/>
      <c r="F59" s="560"/>
      <c r="G59" s="560"/>
      <c r="H59" s="559"/>
      <c r="J59" s="559"/>
    </row>
    <row r="60" spans="1:10" ht="20.25" customHeight="1">
      <c r="A60" s="932" t="s">
        <v>207</v>
      </c>
      <c r="B60" s="932"/>
      <c r="C60" s="932"/>
      <c r="D60" s="932"/>
      <c r="E60" s="932"/>
      <c r="F60" s="932"/>
      <c r="G60" s="932"/>
      <c r="H60" s="932"/>
      <c r="I60" s="932"/>
      <c r="J60" s="559">
        <v>10</v>
      </c>
    </row>
    <row r="61" spans="1:10" ht="20.25">
      <c r="A61" s="561"/>
      <c r="B61" s="561"/>
      <c r="C61" s="561"/>
      <c r="D61" s="561"/>
      <c r="E61" s="561"/>
      <c r="F61" s="561"/>
      <c r="G61" s="561"/>
      <c r="H61" s="559"/>
      <c r="J61" s="559"/>
    </row>
    <row r="62" spans="1:10" ht="20.25" customHeight="1">
      <c r="A62" s="932" t="s">
        <v>208</v>
      </c>
      <c r="B62" s="932"/>
      <c r="C62" s="932"/>
      <c r="D62" s="932"/>
      <c r="E62" s="932"/>
      <c r="F62" s="932"/>
      <c r="G62" s="932"/>
      <c r="H62" s="932"/>
      <c r="I62" s="932"/>
      <c r="J62" s="559">
        <v>11</v>
      </c>
    </row>
    <row r="63" spans="1:10" ht="20.25">
      <c r="A63" s="560"/>
      <c r="B63" s="560"/>
      <c r="C63" s="560"/>
      <c r="D63" s="560"/>
      <c r="E63" s="560"/>
      <c r="F63" s="560"/>
      <c r="G63" s="560"/>
      <c r="H63" s="559"/>
      <c r="J63" s="559"/>
    </row>
    <row r="64" spans="1:10" ht="20.25" customHeight="1">
      <c r="A64" s="932" t="s">
        <v>209</v>
      </c>
      <c r="B64" s="932"/>
      <c r="C64" s="932"/>
      <c r="D64" s="932"/>
      <c r="E64" s="932"/>
      <c r="F64" s="932"/>
      <c r="G64" s="932"/>
      <c r="H64" s="932"/>
      <c r="I64" s="932"/>
      <c r="J64" s="559">
        <v>12</v>
      </c>
    </row>
    <row r="65" spans="1:10" ht="20.25">
      <c r="A65" s="560"/>
      <c r="B65" s="560"/>
      <c r="C65" s="560"/>
      <c r="D65" s="560"/>
      <c r="E65" s="560"/>
      <c r="F65" s="560"/>
      <c r="G65" s="560"/>
      <c r="H65" s="559"/>
      <c r="J65" s="559"/>
    </row>
    <row r="66" spans="1:10" ht="20.25" customHeight="1">
      <c r="A66" s="932" t="s">
        <v>210</v>
      </c>
      <c r="B66" s="932"/>
      <c r="C66" s="932"/>
      <c r="D66" s="932"/>
      <c r="E66" s="932"/>
      <c r="F66" s="932"/>
      <c r="G66" s="932"/>
      <c r="H66" s="932"/>
      <c r="I66" s="932"/>
      <c r="J66" s="559">
        <v>13</v>
      </c>
    </row>
    <row r="67" spans="1:10" ht="20.25" customHeight="1">
      <c r="A67" s="560"/>
      <c r="B67" s="560"/>
      <c r="C67" s="560"/>
      <c r="D67" s="560"/>
      <c r="E67" s="560"/>
      <c r="F67" s="560"/>
      <c r="G67" s="560"/>
      <c r="H67" s="560"/>
      <c r="I67" s="560"/>
      <c r="J67" s="559"/>
    </row>
    <row r="68" spans="1:10" ht="20.25" customHeight="1">
      <c r="A68" s="560"/>
      <c r="B68" s="560"/>
      <c r="C68" s="560"/>
      <c r="D68" s="560"/>
      <c r="E68" s="560"/>
      <c r="F68" s="560"/>
      <c r="G68" s="560"/>
      <c r="H68" s="560"/>
      <c r="I68" s="560"/>
      <c r="J68" s="559"/>
    </row>
    <row r="69" spans="1:10" ht="20.25" customHeight="1">
      <c r="A69" s="560"/>
      <c r="B69" s="560"/>
      <c r="C69" s="560"/>
      <c r="D69" s="560"/>
      <c r="E69" s="560"/>
      <c r="F69" s="560"/>
      <c r="G69" s="560"/>
      <c r="H69" s="560"/>
      <c r="I69" s="560"/>
      <c r="J69" s="559"/>
    </row>
    <row r="70" spans="1:10" ht="20.25" customHeight="1">
      <c r="A70" s="560"/>
      <c r="B70" s="560"/>
      <c r="C70" s="560"/>
      <c r="D70" s="560"/>
      <c r="E70" s="560"/>
      <c r="F70" s="560"/>
      <c r="G70" s="560"/>
      <c r="H70" s="560"/>
      <c r="I70" s="560"/>
      <c r="J70" s="559"/>
    </row>
    <row r="71" spans="1:10" ht="20.25" customHeight="1">
      <c r="A71" s="560"/>
      <c r="B71" s="560"/>
      <c r="C71" s="560"/>
      <c r="D71" s="560"/>
      <c r="E71" s="560"/>
      <c r="F71" s="560"/>
      <c r="G71" s="560"/>
      <c r="H71" s="560"/>
      <c r="I71" s="560"/>
      <c r="J71" s="559"/>
    </row>
    <row r="72" spans="1:10" ht="20.25" customHeight="1">
      <c r="A72" s="560"/>
      <c r="B72" s="560"/>
      <c r="C72" s="560"/>
      <c r="D72" s="560"/>
      <c r="E72" s="560"/>
      <c r="F72" s="560"/>
      <c r="G72" s="560"/>
      <c r="H72" s="560"/>
      <c r="I72" s="560"/>
      <c r="J72" s="559"/>
    </row>
    <row r="73" spans="1:10" ht="20.25">
      <c r="A73" s="560"/>
      <c r="B73" s="560"/>
      <c r="C73" s="560"/>
      <c r="D73" s="560"/>
      <c r="E73" s="560"/>
      <c r="F73" s="560"/>
      <c r="G73" s="560"/>
      <c r="H73" s="560"/>
      <c r="I73" s="560"/>
      <c r="J73" s="559"/>
    </row>
    <row r="74" spans="1:10" ht="20.25" customHeight="1">
      <c r="A74" s="560"/>
      <c r="B74" s="560"/>
      <c r="C74" s="560"/>
      <c r="D74" s="560"/>
      <c r="E74" s="560"/>
      <c r="F74" s="560"/>
      <c r="G74" s="560"/>
      <c r="H74" s="560"/>
      <c r="I74" s="560"/>
      <c r="J74" s="559"/>
    </row>
    <row r="75" spans="1:10" ht="20.25" customHeight="1">
      <c r="A75" s="560"/>
      <c r="B75" s="560"/>
      <c r="C75" s="560"/>
      <c r="D75" s="560"/>
      <c r="E75" s="560"/>
      <c r="F75" s="560"/>
      <c r="G75" s="560"/>
      <c r="H75" s="560"/>
      <c r="I75" s="560"/>
      <c r="J75" s="559"/>
    </row>
    <row r="76" spans="1:10" ht="20.25" customHeight="1">
      <c r="A76" s="560"/>
      <c r="B76" s="560"/>
      <c r="C76" s="560"/>
      <c r="D76" s="560"/>
      <c r="E76" s="560"/>
      <c r="F76" s="560"/>
      <c r="G76" s="560"/>
      <c r="H76" s="560"/>
      <c r="I76" s="560"/>
      <c r="J76" s="559"/>
    </row>
    <row r="77" spans="1:10" ht="20.25" customHeight="1">
      <c r="A77" s="560"/>
      <c r="B77" s="560"/>
      <c r="C77" s="560"/>
      <c r="D77" s="560"/>
      <c r="E77" s="560"/>
      <c r="F77" s="560"/>
      <c r="G77" s="560"/>
      <c r="H77" s="560"/>
      <c r="I77" s="560"/>
      <c r="J77" s="559"/>
    </row>
    <row r="78" spans="1:10" ht="20.25" customHeight="1">
      <c r="A78" s="560"/>
      <c r="B78" s="560"/>
      <c r="C78" s="560"/>
      <c r="D78" s="560"/>
      <c r="E78" s="560"/>
      <c r="F78" s="560"/>
      <c r="G78" s="560"/>
      <c r="H78" s="560"/>
      <c r="I78" s="560"/>
      <c r="J78" s="559"/>
    </row>
    <row r="79" spans="1:10" ht="20.25" customHeight="1">
      <c r="A79" s="560"/>
      <c r="B79" s="560"/>
      <c r="C79" s="560"/>
      <c r="D79" s="560"/>
      <c r="E79" s="560"/>
      <c r="F79" s="560"/>
      <c r="G79" s="560"/>
      <c r="H79" s="560"/>
      <c r="I79" s="560"/>
      <c r="J79" s="559"/>
    </row>
    <row r="80" spans="1:10" ht="20.25" customHeight="1">
      <c r="A80" s="560"/>
      <c r="B80" s="560"/>
      <c r="C80" s="560"/>
      <c r="D80" s="560"/>
      <c r="E80" s="560"/>
      <c r="F80" s="560"/>
      <c r="G80" s="560"/>
      <c r="H80" s="560"/>
      <c r="I80" s="560"/>
      <c r="J80" s="559"/>
    </row>
    <row r="81" spans="1:10" ht="20.25" customHeight="1">
      <c r="A81" s="560"/>
      <c r="B81" s="560"/>
      <c r="C81" s="560"/>
      <c r="D81" s="560"/>
      <c r="E81" s="560"/>
      <c r="F81" s="560"/>
      <c r="G81" s="560"/>
      <c r="H81" s="560"/>
      <c r="I81" s="560"/>
      <c r="J81" s="559"/>
    </row>
    <row r="82" spans="1:10" ht="20.25" customHeight="1">
      <c r="A82" s="560"/>
      <c r="B82" s="560"/>
      <c r="C82" s="560"/>
      <c r="D82" s="560"/>
      <c r="E82" s="560"/>
      <c r="F82" s="560"/>
      <c r="G82" s="560"/>
      <c r="H82" s="560"/>
      <c r="I82" s="560"/>
      <c r="J82" s="559"/>
    </row>
    <row r="83" spans="1:10" ht="20.25" customHeight="1">
      <c r="A83" s="560"/>
      <c r="B83" s="560"/>
      <c r="C83" s="560"/>
      <c r="D83" s="560"/>
      <c r="E83" s="560"/>
      <c r="F83" s="560"/>
      <c r="G83" s="560"/>
      <c r="H83" s="560"/>
      <c r="I83" s="560"/>
      <c r="J83" s="559"/>
    </row>
    <row r="84" spans="1:10" ht="20.25" customHeight="1">
      <c r="A84" s="560"/>
      <c r="B84" s="560"/>
      <c r="C84" s="560"/>
      <c r="D84" s="560"/>
      <c r="E84" s="560"/>
      <c r="F84" s="560"/>
      <c r="G84" s="560"/>
      <c r="H84" s="560"/>
      <c r="I84" s="560"/>
      <c r="J84" s="559"/>
    </row>
    <row r="85" spans="1:10" ht="18">
      <c r="A85" s="548"/>
      <c r="B85" s="548"/>
      <c r="C85" s="548"/>
      <c r="D85" s="548"/>
      <c r="E85" s="548"/>
      <c r="F85" s="548"/>
      <c r="G85" s="548"/>
      <c r="H85" s="548"/>
      <c r="I85" s="548"/>
      <c r="J85" s="548"/>
    </row>
    <row r="86" spans="1:10" ht="18">
      <c r="A86" s="548"/>
      <c r="B86" s="548"/>
      <c r="C86" s="548"/>
      <c r="D86" s="548"/>
      <c r="E86" s="548"/>
      <c r="F86" s="548"/>
      <c r="G86" s="548"/>
      <c r="H86" s="548"/>
      <c r="I86" s="548"/>
      <c r="J86" s="548"/>
    </row>
    <row r="87" spans="1:10" ht="18">
      <c r="A87" s="548"/>
      <c r="B87" s="548"/>
      <c r="C87" s="548"/>
      <c r="D87" s="548"/>
      <c r="E87" s="548"/>
      <c r="F87" s="548"/>
      <c r="G87" s="548"/>
      <c r="H87" s="548"/>
      <c r="I87" s="548"/>
      <c r="J87" s="548"/>
    </row>
    <row r="88" spans="1:10" ht="18">
      <c r="A88" s="548"/>
      <c r="B88" s="548"/>
      <c r="C88" s="548"/>
      <c r="D88" s="548"/>
      <c r="E88" s="548"/>
      <c r="F88" s="548"/>
      <c r="G88" s="548"/>
      <c r="H88" s="548"/>
      <c r="I88" s="548"/>
      <c r="J88" s="548"/>
    </row>
    <row r="89" spans="1:10" ht="18">
      <c r="A89" s="548"/>
      <c r="B89" s="548"/>
      <c r="C89" s="548"/>
      <c r="D89" s="548"/>
      <c r="E89" s="548"/>
      <c r="F89" s="548"/>
      <c r="G89" s="548"/>
      <c r="H89" s="548"/>
      <c r="I89" s="548"/>
      <c r="J89" s="548"/>
    </row>
    <row r="90" spans="1:10" ht="18">
      <c r="A90" s="525" t="str">
        <f>A1</f>
        <v>Budget at-a-Glance</v>
      </c>
      <c r="B90" s="548"/>
      <c r="C90" s="548"/>
      <c r="D90" s="548"/>
      <c r="E90" s="548"/>
      <c r="F90" s="548"/>
      <c r="G90" s="548"/>
      <c r="H90" s="548"/>
      <c r="I90" s="622" t="str">
        <f>I1</f>
        <v>2025-2026</v>
      </c>
      <c r="J90" s="620" t="str">
        <f>J1</f>
        <v xml:space="preserve"> | USD #225</v>
      </c>
    </row>
    <row r="91" spans="1:10" ht="12.2" customHeight="1">
      <c r="J91" s="516"/>
    </row>
    <row r="92" spans="1:10" s="80" customFormat="1" ht="18">
      <c r="A92" s="959" t="str">
        <f>SUMEXPEN!B2</f>
        <v>Summary of Total Expenditures by Function (All Funds)</v>
      </c>
      <c r="B92" s="959"/>
      <c r="C92" s="959"/>
      <c r="D92" s="959"/>
      <c r="E92" s="959"/>
      <c r="F92" s="959"/>
      <c r="G92" s="959"/>
      <c r="H92" s="959"/>
      <c r="I92" s="959"/>
      <c r="J92" s="959"/>
    </row>
    <row r="93" spans="1:10">
      <c r="C93" s="546"/>
      <c r="D93" s="546"/>
      <c r="E93" s="546"/>
      <c r="F93" s="546"/>
      <c r="G93" s="546"/>
      <c r="H93" s="546"/>
      <c r="I93" s="546"/>
      <c r="J93" s="546"/>
    </row>
    <row r="94" spans="1:10">
      <c r="A94" s="2"/>
      <c r="B94" s="146" t="str">
        <f>SUMEXPEN!D4</f>
        <v>2023-2024</v>
      </c>
      <c r="C94" s="146" t="str">
        <f>SUMEXPEN!E4</f>
        <v>% of</v>
      </c>
      <c r="D94" s="147" t="str">
        <f>SUMEXPEN!F4</f>
        <v>2024-2025</v>
      </c>
      <c r="E94" s="146" t="str">
        <f>SUMEXPEN!G4</f>
        <v>% of</v>
      </c>
      <c r="F94" s="147" t="str">
        <f>SUMEXPEN!H4</f>
        <v>%</v>
      </c>
      <c r="G94" s="148" t="str">
        <f>SUMEXPEN!I4</f>
        <v>2025-2026</v>
      </c>
      <c r="H94" s="146" t="str">
        <f>SUMEXPEN!J4</f>
        <v>% of</v>
      </c>
      <c r="I94" s="847" t="str">
        <f>SUMEXPEN!K4</f>
        <v>%</v>
      </c>
      <c r="J94" s="848"/>
    </row>
    <row r="95" spans="1:10" ht="15.75" thickBot="1">
      <c r="A95" s="2"/>
      <c r="B95" s="150" t="str">
        <f>SUMEXPEN!D5</f>
        <v>Actual</v>
      </c>
      <c r="C95" s="150" t="str">
        <f>SUMEXPEN!E5</f>
        <v>Total</v>
      </c>
      <c r="D95" s="150" t="str">
        <f>SUMEXPEN!F5</f>
        <v>Actual</v>
      </c>
      <c r="E95" s="150" t="str">
        <f>SUMEXPEN!G5</f>
        <v>Total</v>
      </c>
      <c r="F95" s="150" t="str">
        <f>SUMEXPEN!H5</f>
        <v>Change</v>
      </c>
      <c r="G95" s="150" t="str">
        <f>SUMEXPEN!I5</f>
        <v>Budget</v>
      </c>
      <c r="H95" s="150" t="str">
        <f>SUMEXPEN!J5</f>
        <v>Total</v>
      </c>
      <c r="I95" s="849" t="str">
        <f>SUMEXPEN!K5</f>
        <v>Change</v>
      </c>
      <c r="J95" s="850"/>
    </row>
    <row r="96" spans="1:10">
      <c r="A96" s="152" t="str">
        <f>SUMEXPEN!B6</f>
        <v>Instruction</v>
      </c>
      <c r="B96" s="154">
        <f>SUMEXPEN!D6</f>
        <v>938685</v>
      </c>
      <c r="C96" s="155">
        <f>SUMEXPEN!E6</f>
        <v>0.48</v>
      </c>
      <c r="D96" s="154">
        <f>SUMEXPEN!F6</f>
        <v>1968697</v>
      </c>
      <c r="E96" s="156">
        <f>SUMEXPEN!G6</f>
        <v>0.6</v>
      </c>
      <c r="F96" s="156">
        <f>SUMEXPEN!H6</f>
        <v>1.1000000000000001</v>
      </c>
      <c r="G96" s="154">
        <f>SUMEXPEN!I6</f>
        <v>1412804</v>
      </c>
      <c r="H96" s="156">
        <f>SUMEXPEN!J6</f>
        <v>0.5</v>
      </c>
      <c r="I96" s="851">
        <f>SUMEXPEN!K6</f>
        <v>-0.28000000000000003</v>
      </c>
      <c r="J96" s="852"/>
    </row>
    <row r="97" spans="1:10">
      <c r="A97" s="160" t="str">
        <f>SUMEXPEN!B7</f>
        <v>Student Support Services</v>
      </c>
      <c r="B97" s="162">
        <f>SUMEXPEN!D7</f>
        <v>2063</v>
      </c>
      <c r="C97" s="163">
        <f>SUMEXPEN!E7</f>
        <v>0</v>
      </c>
      <c r="D97" s="162">
        <f>SUMEXPEN!F7</f>
        <v>267</v>
      </c>
      <c r="E97" s="164" t="str">
        <f>SUMEXPEN!G7</f>
        <v>&lt;1%</v>
      </c>
      <c r="F97" s="163">
        <f>SUMEXPEN!H7</f>
        <v>-0.87</v>
      </c>
      <c r="G97" s="162">
        <f>SUMEXPEN!I7</f>
        <v>0</v>
      </c>
      <c r="H97" s="164">
        <f>SUMEXPEN!J7</f>
        <v>0</v>
      </c>
      <c r="I97" s="826">
        <f>SUMEXPEN!K7</f>
        <v>-1</v>
      </c>
      <c r="J97" s="961"/>
    </row>
    <row r="98" spans="1:10">
      <c r="A98" s="152" t="str">
        <f>SUMEXPEN!B8</f>
        <v>Instructional Support Services</v>
      </c>
      <c r="B98" s="166">
        <f>SUMEXPEN!D8</f>
        <v>1258</v>
      </c>
      <c r="C98" s="155" t="str">
        <f>SUMEXPEN!E8</f>
        <v>&lt;1%</v>
      </c>
      <c r="D98" s="166">
        <f>SUMEXPEN!F8</f>
        <v>240</v>
      </c>
      <c r="E98" s="156" t="str">
        <f>SUMEXPEN!G8</f>
        <v>&lt;1%</v>
      </c>
      <c r="F98" s="155">
        <f>SUMEXPEN!H8</f>
        <v>-0.81</v>
      </c>
      <c r="G98" s="166">
        <f>SUMEXPEN!I8</f>
        <v>100</v>
      </c>
      <c r="H98" s="156" t="str">
        <f>SUMEXPEN!J8</f>
        <v>&lt;1%</v>
      </c>
      <c r="I98" s="843">
        <f>SUMEXPEN!K8</f>
        <v>-0.57999999999999996</v>
      </c>
      <c r="J98" s="960"/>
    </row>
    <row r="99" spans="1:10">
      <c r="A99" s="160" t="str">
        <f>SUMEXPEN!B9</f>
        <v>Administration &amp; Support</v>
      </c>
      <c r="B99" s="162">
        <f>SUMEXPEN!D9</f>
        <v>256195</v>
      </c>
      <c r="C99" s="163">
        <f>SUMEXPEN!E9</f>
        <v>0.13</v>
      </c>
      <c r="D99" s="162">
        <f>SUMEXPEN!F9</f>
        <v>263732</v>
      </c>
      <c r="E99" s="164">
        <f>SUMEXPEN!G9</f>
        <v>0.08</v>
      </c>
      <c r="F99" s="163">
        <f>SUMEXPEN!H9</f>
        <v>0.03</v>
      </c>
      <c r="G99" s="162">
        <f>SUMEXPEN!I9</f>
        <v>266917</v>
      </c>
      <c r="H99" s="164">
        <f>SUMEXPEN!J9</f>
        <v>0.1</v>
      </c>
      <c r="I99" s="826">
        <f>SUMEXPEN!K9</f>
        <v>0.01</v>
      </c>
      <c r="J99" s="961"/>
    </row>
    <row r="100" spans="1:10">
      <c r="A100" s="152" t="str">
        <f>SUMEXPEN!B10</f>
        <v>Operations &amp; Maintenance</v>
      </c>
      <c r="B100" s="166">
        <f>SUMEXPEN!D10</f>
        <v>397475</v>
      </c>
      <c r="C100" s="155">
        <f>SUMEXPEN!E10</f>
        <v>0.2</v>
      </c>
      <c r="D100" s="166">
        <f>SUMEXPEN!F10</f>
        <v>693565</v>
      </c>
      <c r="E100" s="156">
        <f>SUMEXPEN!G10</f>
        <v>0.21</v>
      </c>
      <c r="F100" s="155">
        <f>SUMEXPEN!H10</f>
        <v>0.74</v>
      </c>
      <c r="G100" s="166">
        <f>SUMEXPEN!I10</f>
        <v>624676</v>
      </c>
      <c r="H100" s="156">
        <f>SUMEXPEN!J10</f>
        <v>0.22</v>
      </c>
      <c r="I100" s="843">
        <f>SUMEXPEN!K10</f>
        <v>-0.1</v>
      </c>
      <c r="J100" s="960"/>
    </row>
    <row r="101" spans="1:10">
      <c r="A101" s="160" t="str">
        <f>SUMEXPEN!B11</f>
        <v>Transportation</v>
      </c>
      <c r="B101" s="162">
        <f>SUMEXPEN!D11</f>
        <v>54953</v>
      </c>
      <c r="C101" s="163">
        <f>SUMEXPEN!E11</f>
        <v>0.03</v>
      </c>
      <c r="D101" s="162">
        <f>SUMEXPEN!F11</f>
        <v>58431</v>
      </c>
      <c r="E101" s="164">
        <f>SUMEXPEN!G11</f>
        <v>0.02</v>
      </c>
      <c r="F101" s="163">
        <f>SUMEXPEN!H11</f>
        <v>0.06</v>
      </c>
      <c r="G101" s="162">
        <f>SUMEXPEN!I11</f>
        <v>191507</v>
      </c>
      <c r="H101" s="164">
        <f>SUMEXPEN!J11</f>
        <v>7.0000000000000007E-2</v>
      </c>
      <c r="I101" s="826">
        <f>SUMEXPEN!K11</f>
        <v>2.2799999999999998</v>
      </c>
      <c r="J101" s="961"/>
    </row>
    <row r="102" spans="1:10">
      <c r="A102" s="152" t="str">
        <f>SUMEXPEN!B12</f>
        <v>Food Services</v>
      </c>
      <c r="B102" s="166">
        <f>SUMEXPEN!D12</f>
        <v>122157</v>
      </c>
      <c r="C102" s="155">
        <f>SUMEXPEN!E12</f>
        <v>0.06</v>
      </c>
      <c r="D102" s="166">
        <f>SUMEXPEN!F12</f>
        <v>133439</v>
      </c>
      <c r="E102" s="156">
        <f>SUMEXPEN!G12</f>
        <v>0.04</v>
      </c>
      <c r="F102" s="155">
        <f>SUMEXPEN!H12</f>
        <v>0.09</v>
      </c>
      <c r="G102" s="166">
        <f>SUMEXPEN!I12</f>
        <v>129500</v>
      </c>
      <c r="H102" s="156">
        <f>SUMEXPEN!J12</f>
        <v>0.05</v>
      </c>
      <c r="I102" s="843">
        <f>SUMEXPEN!K12</f>
        <v>-0.03</v>
      </c>
      <c r="J102" s="960"/>
    </row>
    <row r="103" spans="1:10">
      <c r="A103" s="160" t="str">
        <f>SUMEXPEN!B13</f>
        <v>Capital Improvements</v>
      </c>
      <c r="B103" s="162">
        <f>SUMEXPEN!D13</f>
        <v>39926</v>
      </c>
      <c r="C103" s="163">
        <f>SUMEXPEN!E13</f>
        <v>0.02</v>
      </c>
      <c r="D103" s="162">
        <f>SUMEXPEN!F13</f>
        <v>0</v>
      </c>
      <c r="E103" s="164">
        <f>SUMEXPEN!G13</f>
        <v>0</v>
      </c>
      <c r="F103" s="163">
        <f>SUMEXPEN!H13</f>
        <v>-1</v>
      </c>
      <c r="G103" s="162">
        <f>SUMEXPEN!I13</f>
        <v>25000</v>
      </c>
      <c r="H103" s="164">
        <f>SUMEXPEN!J13</f>
        <v>0.01</v>
      </c>
      <c r="I103" s="826">
        <f>SUMEXPEN!K13</f>
        <v>0</v>
      </c>
      <c r="J103" s="961"/>
    </row>
    <row r="104" spans="1:10">
      <c r="A104" s="152" t="str">
        <f>SUMEXPEN!B14</f>
        <v>Debt Services</v>
      </c>
      <c r="B104" s="166">
        <f>SUMEXPEN!D14</f>
        <v>153725</v>
      </c>
      <c r="C104" s="155">
        <f>SUMEXPEN!E14</f>
        <v>0.08</v>
      </c>
      <c r="D104" s="166">
        <f>SUMEXPEN!F14</f>
        <v>154900</v>
      </c>
      <c r="E104" s="156">
        <f>SUMEXPEN!G14</f>
        <v>0.05</v>
      </c>
      <c r="F104" s="155">
        <f>SUMEXPEN!H14</f>
        <v>0.01</v>
      </c>
      <c r="G104" s="166">
        <f>SUMEXPEN!I14</f>
        <v>154900</v>
      </c>
      <c r="H104" s="156">
        <f>SUMEXPEN!J14</f>
        <v>0.06</v>
      </c>
      <c r="I104" s="843">
        <f>SUMEXPEN!K14</f>
        <v>0</v>
      </c>
      <c r="J104" s="960"/>
    </row>
    <row r="105" spans="1:10" ht="15.75" thickBot="1">
      <c r="A105" s="169" t="str">
        <f>SUMEXPEN!B15</f>
        <v>Other Costs</v>
      </c>
      <c r="B105" s="171">
        <f>SUMEXPEN!D15</f>
        <v>7174</v>
      </c>
      <c r="C105" s="172">
        <f>SUMEXPEN!E15</f>
        <v>0</v>
      </c>
      <c r="D105" s="171">
        <f>SUMEXPEN!F15</f>
        <v>219</v>
      </c>
      <c r="E105" s="172" t="str">
        <f>SUMEXPEN!G15</f>
        <v>&lt;1%</v>
      </c>
      <c r="F105" s="173">
        <f>SUMEXPEN!H15</f>
        <v>-0.97</v>
      </c>
      <c r="G105" s="171">
        <f>SUMEXPEN!I15</f>
        <v>0</v>
      </c>
      <c r="H105" s="172">
        <f>SUMEXPEN!J15</f>
        <v>0</v>
      </c>
      <c r="I105" s="962">
        <f>SUMEXPEN!K15</f>
        <v>-1</v>
      </c>
      <c r="J105" s="963"/>
    </row>
    <row r="106" spans="1:10" ht="15.75" thickTop="1">
      <c r="A106" s="174" t="str">
        <f>SUMEXPEN!B16</f>
        <v>Total Expenditures¹</v>
      </c>
      <c r="B106" s="176">
        <f>SUMEXPEN!D16</f>
        <v>1973611</v>
      </c>
      <c r="C106" s="177">
        <f>SUMEXPEN!E16</f>
        <v>1</v>
      </c>
      <c r="D106" s="178">
        <f>SUMEXPEN!F16</f>
        <v>3273490</v>
      </c>
      <c r="E106" s="177">
        <f>SUMEXPEN!G16</f>
        <v>1</v>
      </c>
      <c r="F106" s="177">
        <f>SUMEXPEN!H16</f>
        <v>0.66</v>
      </c>
      <c r="G106" s="178">
        <f>SUMEXPEN!I16</f>
        <v>2805404</v>
      </c>
      <c r="H106" s="177">
        <f>SUMEXPEN!J16</f>
        <v>1</v>
      </c>
      <c r="I106" s="964">
        <f>SUMEXPEN!K16</f>
        <v>-0.14000000000000001</v>
      </c>
      <c r="J106" s="965"/>
    </row>
    <row r="107" spans="1:10" ht="15.75" thickBot="1">
      <c r="A107" s="182" t="str">
        <f>SUMEXPEN!B17</f>
        <v>Amount per Pupil</v>
      </c>
      <c r="B107" s="183">
        <f>SUMEXPEN!D17</f>
        <v>27915</v>
      </c>
      <c r="C107" s="184">
        <f>SUMEXPEN!E17</f>
        <v>0</v>
      </c>
      <c r="D107" s="183">
        <f>SUMEXPEN!F17</f>
        <v>39679</v>
      </c>
      <c r="E107" s="184">
        <f>SUMEXPEN!G17</f>
        <v>0</v>
      </c>
      <c r="F107" s="185">
        <f>SUMEXPEN!H17</f>
        <v>0.42</v>
      </c>
      <c r="G107" s="183">
        <f>SUMEXPEN!I17</f>
        <v>40077</v>
      </c>
      <c r="H107" s="184">
        <f>SUMEXPEN!J17</f>
        <v>0</v>
      </c>
      <c r="I107" s="966">
        <f>SUMEXPEN!K17</f>
        <v>0.01</v>
      </c>
      <c r="J107" s="967"/>
    </row>
    <row r="108" spans="1:10">
      <c r="A108" s="174" t="str">
        <f>SUMEXPEN!B18</f>
        <v>Current Expenditures²</v>
      </c>
      <c r="B108" s="178">
        <f>SUMEXPEN!D18</f>
        <v>1627534</v>
      </c>
      <c r="C108" s="177">
        <f>SUMEXPEN!E18</f>
        <v>1</v>
      </c>
      <c r="D108" s="178">
        <f>SUMEXPEN!F18</f>
        <v>2632493</v>
      </c>
      <c r="E108" s="177">
        <f>SUMEXPEN!G18</f>
        <v>1</v>
      </c>
      <c r="F108" s="177">
        <f>SUMEXPEN!H18</f>
        <v>0.62</v>
      </c>
      <c r="G108" s="178">
        <f>SUMEXPEN!I18</f>
        <v>2333490</v>
      </c>
      <c r="H108" s="177">
        <f>SUMEXPEN!J18</f>
        <v>1</v>
      </c>
      <c r="I108" s="968">
        <f>SUMEXPEN!K18</f>
        <v>-0.11</v>
      </c>
      <c r="J108" s="969"/>
    </row>
    <row r="109" spans="1:10">
      <c r="A109" s="187" t="str">
        <f>SUMEXPEN!B19</f>
        <v>Amount per Pupil</v>
      </c>
      <c r="B109" s="189">
        <f>SUMEXPEN!D19</f>
        <v>23020</v>
      </c>
      <c r="C109" s="190">
        <f>SUMEXPEN!E19</f>
        <v>0</v>
      </c>
      <c r="D109" s="191">
        <f>SUMEXPEN!F19</f>
        <v>31909</v>
      </c>
      <c r="E109" s="190">
        <f>SUMEXPEN!G19</f>
        <v>0</v>
      </c>
      <c r="F109" s="192">
        <f>SUMEXPEN!H19</f>
        <v>0.39</v>
      </c>
      <c r="G109" s="189">
        <f>SUMEXPEN!I19</f>
        <v>33336</v>
      </c>
      <c r="H109" s="190">
        <f>SUMEXPEN!J19</f>
        <v>0</v>
      </c>
      <c r="I109" s="970">
        <f>SUMEXPEN!K19</f>
        <v>0.04</v>
      </c>
      <c r="J109" s="971"/>
    </row>
    <row r="110" spans="1:10" ht="15.75">
      <c r="A110" s="972" t="str">
        <f>SUMEXPEN!B20</f>
        <v>Percent of Expenditures for Instruction³</v>
      </c>
      <c r="B110" s="972"/>
      <c r="C110" s="972"/>
      <c r="D110" s="972"/>
      <c r="E110" s="972"/>
      <c r="F110" s="972"/>
      <c r="G110" s="972"/>
      <c r="H110" s="972"/>
      <c r="I110" s="972"/>
      <c r="J110" s="972"/>
    </row>
    <row r="111" spans="1:10">
      <c r="A111" s="193" t="str">
        <f>SUMEXPEN!B21</f>
        <v>Total Expenditures</v>
      </c>
      <c r="B111" s="195">
        <f>SUMEXPEN!D21</f>
        <v>925646</v>
      </c>
      <c r="C111" s="196">
        <f>SUMEXPEN!E21</f>
        <v>0.47</v>
      </c>
      <c r="D111" s="195">
        <f>SUMEXPEN!F21</f>
        <v>1968697</v>
      </c>
      <c r="E111" s="196">
        <f>SUMEXPEN!G21</f>
        <v>0.6</v>
      </c>
      <c r="F111" s="196">
        <f>SUMEXPEN!H21</f>
        <v>0.13</v>
      </c>
      <c r="G111" s="195">
        <f>SUMEXPEN!I21</f>
        <v>1402804</v>
      </c>
      <c r="H111" s="196">
        <f>SUMEXPEN!J21</f>
        <v>0.5</v>
      </c>
      <c r="I111" s="843">
        <f>SUMEXPEN!K21</f>
        <v>-0.1</v>
      </c>
      <c r="J111" s="844"/>
    </row>
    <row r="112" spans="1:10">
      <c r="A112" s="197" t="str">
        <f>SUMEXPEN!B22</f>
        <v>Current Expenditures</v>
      </c>
      <c r="B112" s="199">
        <f>SUMEXPEN!D22</f>
        <v>925646</v>
      </c>
      <c r="C112" s="200">
        <f>SUMEXPEN!E22</f>
        <v>0.56999999999999995</v>
      </c>
      <c r="D112" s="199">
        <f>SUMEXPEN!F22</f>
        <v>1968697</v>
      </c>
      <c r="E112" s="200">
        <f>SUMEXPEN!G22</f>
        <v>0.75</v>
      </c>
      <c r="F112" s="200">
        <f>SUMEXPEN!H22</f>
        <v>0.18</v>
      </c>
      <c r="G112" s="199">
        <f>SUMEXPEN!I22</f>
        <v>1402804</v>
      </c>
      <c r="H112" s="200">
        <f>SUMEXPEN!J22</f>
        <v>0.6</v>
      </c>
      <c r="I112" s="826">
        <f>SUMEXPEN!K22</f>
        <v>-0.15</v>
      </c>
      <c r="J112" s="827"/>
    </row>
    <row r="113" spans="1:10" ht="5.0999999999999996" customHeight="1">
      <c r="C113" s="2"/>
      <c r="D113" s="2"/>
      <c r="E113" s="165"/>
      <c r="F113" s="201"/>
      <c r="G113" s="165"/>
      <c r="H113" s="201"/>
      <c r="I113" s="201"/>
      <c r="J113" s="165"/>
    </row>
    <row r="114" spans="1:10" ht="96.6" customHeight="1">
      <c r="A114" s="865" t="str">
        <f>SUMEXPEN!B24</f>
        <v>1.  Funds Included: (06) General, (07) Federal Funds, (08) Supplemental General, (10) Adult Education, (11) Preschool-Aged At-Risk, (12) Adult Supplemental Education,
     (13) At-Risk Education Fund, (14) Bilingual Education, (15) Virtual Education, (16) Capital Outlay, (18) Driver Education, (22) Extraordinary School Program, (26) Professional Development, 
     (28) Parent Education, (29) Summer School, (30) Special Education, (34) Career and Postsecondary Education, (35) Gifts &amp; Grants, (42) Special Liability Expense, 
     (44) School Retirement, (51) KPERS Special Retirement Contribution, (53) Contingency Reserve, (55) Textbook &amp; Student Material Revolving, (56) Activity Fund, (62) Bond &amp;
     Interest #1, (63) Bond &amp; Interest #2, (66) No-Fund Warrant, (67) Special Assessment, and (78) Special Education Coop Fund.
     Note: The Budgeted Total Expenditures may not match Code 99 due to budgeted transfers from (06) General and (08) Supplemental General to (53) Contingency Reserve 
     and (55) Textbook &amp; Student Material Revolving, which are not budgeted funds.</v>
      </c>
      <c r="B114" s="865"/>
      <c r="C114" s="865"/>
      <c r="D114" s="865"/>
      <c r="E114" s="865"/>
      <c r="F114" s="865"/>
      <c r="G114" s="865"/>
      <c r="H114" s="865"/>
      <c r="I114" s="865"/>
      <c r="J114" s="865"/>
    </row>
    <row r="115" spans="1:10">
      <c r="A115" s="865" t="str">
        <f>SUMEXPEN!B25</f>
        <v>2.  Current Expenditures excludes Capital Outlay (Code 16) and Bond Debt expenditures (Code 62 &amp; 63)</v>
      </c>
      <c r="B115" s="865"/>
      <c r="C115" s="865"/>
      <c r="D115" s="865"/>
      <c r="E115" s="865"/>
      <c r="F115" s="865"/>
      <c r="G115" s="865"/>
      <c r="H115" s="865"/>
      <c r="I115" s="865"/>
      <c r="J115" s="865"/>
    </row>
    <row r="116" spans="1:10">
      <c r="A116" s="865" t="str">
        <f>SUMEXPEN!B26</f>
        <v>3.  Instruction excludes Capital Outlay (Code 16) and Bond Debt expenditures (Code 62 &amp; 63)</v>
      </c>
      <c r="B116" s="865"/>
      <c r="C116" s="865"/>
      <c r="D116" s="865"/>
      <c r="E116" s="865"/>
      <c r="F116" s="865"/>
      <c r="G116" s="865"/>
      <c r="H116" s="865"/>
      <c r="I116" s="865"/>
      <c r="J116" s="865"/>
    </row>
    <row r="117" spans="1:10" s="562" customFormat="1" ht="44.25" customHeight="1">
      <c r="A117" s="865" t="str">
        <f>SUMEXPEN!B27</f>
        <v>Functions Included: Instruction (1000), Student Support Services (2100), Instructional Support Services (2200), Administration &amp; Support (2300, 2400, 2500),
                                    Operations &amp; Maintenance (2600), Transportation (2700), Food Service (3100), Other Costs (2900, 3300), Capital Improvements (4000),
                                    Debt Services (5100) and Transfers (5200)</v>
      </c>
      <c r="B117" s="865"/>
      <c r="C117" s="865"/>
      <c r="D117" s="865"/>
      <c r="E117" s="865"/>
      <c r="F117" s="865"/>
      <c r="G117" s="865"/>
      <c r="H117" s="865"/>
      <c r="I117" s="865"/>
      <c r="J117" s="865"/>
    </row>
    <row r="118" spans="1:10">
      <c r="C118" s="80"/>
      <c r="D118" s="80"/>
      <c r="E118" s="80"/>
      <c r="F118" s="80"/>
      <c r="G118" s="80"/>
      <c r="H118" s="80"/>
      <c r="I118" s="80"/>
      <c r="J118" s="80"/>
    </row>
    <row r="119" spans="1:10">
      <c r="C119" s="202"/>
      <c r="D119" s="203"/>
      <c r="E119" s="203"/>
      <c r="F119" s="203"/>
      <c r="G119" s="203"/>
      <c r="H119" s="203"/>
      <c r="I119" s="203"/>
      <c r="J119" s="203"/>
    </row>
    <row r="120" spans="1:10">
      <c r="C120" s="80"/>
      <c r="D120" s="203"/>
      <c r="E120" s="203"/>
      <c r="F120" s="203"/>
      <c r="G120" s="203"/>
      <c r="H120" s="203"/>
      <c r="I120" s="203"/>
      <c r="J120" s="203"/>
    </row>
    <row r="121" spans="1:10">
      <c r="C121" s="204"/>
      <c r="D121" s="205"/>
      <c r="E121" s="205"/>
      <c r="F121" s="205"/>
      <c r="G121" s="206"/>
      <c r="H121" s="205"/>
      <c r="I121" s="206"/>
      <c r="J121" s="205"/>
    </row>
    <row r="122" spans="1:10">
      <c r="C122" s="205"/>
      <c r="D122" s="205"/>
      <c r="E122" s="205"/>
      <c r="F122" s="205"/>
      <c r="G122" s="206"/>
      <c r="H122" s="205"/>
      <c r="I122" s="206"/>
      <c r="J122" s="205"/>
    </row>
    <row r="123" spans="1:10">
      <c r="C123" s="208"/>
      <c r="D123" s="208"/>
      <c r="E123" s="208"/>
      <c r="F123" s="208"/>
      <c r="G123" s="209"/>
      <c r="H123" s="208"/>
      <c r="I123" s="209"/>
      <c r="J123" s="208"/>
    </row>
    <row r="124" spans="1:10">
      <c r="C124" s="208"/>
      <c r="D124" s="208"/>
      <c r="E124" s="208"/>
      <c r="F124" s="208"/>
      <c r="G124" s="209"/>
      <c r="H124" s="208"/>
      <c r="I124" s="208"/>
      <c r="J124" s="208"/>
    </row>
    <row r="125" spans="1:10">
      <c r="C125" s="80"/>
      <c r="D125" s="2"/>
      <c r="E125" s="2"/>
      <c r="F125" s="2"/>
      <c r="G125" s="80"/>
      <c r="H125" s="2"/>
      <c r="I125" s="2"/>
      <c r="J125" s="2"/>
    </row>
    <row r="126" spans="1:10">
      <c r="C126" s="2"/>
      <c r="D126" s="2"/>
      <c r="E126" s="2"/>
      <c r="F126" s="2"/>
      <c r="G126" s="80"/>
      <c r="H126" s="2"/>
      <c r="I126" s="2"/>
      <c r="J126" s="2"/>
    </row>
    <row r="127" spans="1:10">
      <c r="C127" s="2"/>
      <c r="D127" s="2"/>
      <c r="E127" s="2"/>
      <c r="F127" s="2"/>
      <c r="G127" s="2"/>
      <c r="H127" s="2"/>
      <c r="I127" s="2"/>
      <c r="J127" s="2"/>
    </row>
    <row r="128" spans="1:10">
      <c r="C128" s="2"/>
      <c r="D128" s="2"/>
      <c r="E128" s="2"/>
      <c r="F128" s="2"/>
      <c r="G128" s="2"/>
      <c r="H128" s="2"/>
      <c r="I128" s="2"/>
      <c r="J128" s="2"/>
    </row>
    <row r="129" spans="3:10">
      <c r="C129" s="2"/>
      <c r="D129" s="2"/>
      <c r="E129" s="2"/>
      <c r="F129" s="2"/>
      <c r="G129" s="2"/>
      <c r="H129" s="2"/>
      <c r="I129" s="2"/>
      <c r="J129" s="2"/>
    </row>
    <row r="130" spans="3:10">
      <c r="C130" s="2"/>
      <c r="D130" s="2"/>
      <c r="E130" s="2"/>
      <c r="F130" s="2"/>
      <c r="G130" s="2"/>
      <c r="H130" s="2"/>
      <c r="I130" s="2"/>
      <c r="J130" s="2"/>
    </row>
    <row r="131" spans="3:10">
      <c r="C131" s="2"/>
      <c r="D131" s="2"/>
      <c r="E131" s="2"/>
      <c r="F131" s="2"/>
      <c r="G131" s="2"/>
      <c r="H131" s="2"/>
      <c r="I131" s="2"/>
      <c r="J131" s="2"/>
    </row>
    <row r="132" spans="3:10">
      <c r="C132" s="2"/>
      <c r="D132" s="2"/>
      <c r="E132" s="2"/>
      <c r="F132" s="2"/>
      <c r="G132" s="2"/>
      <c r="H132" s="2"/>
      <c r="I132" s="2"/>
      <c r="J132" s="2"/>
    </row>
    <row r="133" spans="3:10">
      <c r="C133" s="2"/>
      <c r="D133" s="2"/>
      <c r="E133" s="2"/>
      <c r="F133" s="2"/>
      <c r="G133" s="2"/>
      <c r="H133" s="2"/>
      <c r="I133" s="2"/>
      <c r="J133" s="2"/>
    </row>
    <row r="134" spans="3:10">
      <c r="C134" s="2"/>
      <c r="D134" s="2"/>
      <c r="E134" s="2"/>
      <c r="F134" s="2"/>
      <c r="G134" s="2"/>
      <c r="H134" s="2"/>
      <c r="I134" s="2"/>
      <c r="J134" s="2"/>
    </row>
    <row r="135" spans="3:10">
      <c r="C135" s="2"/>
      <c r="D135" s="2"/>
      <c r="E135" s="2"/>
      <c r="F135" s="2"/>
      <c r="G135" s="2"/>
      <c r="H135" s="2"/>
      <c r="I135" s="2"/>
      <c r="J135" s="2"/>
    </row>
    <row r="136" spans="3:10">
      <c r="C136" s="2"/>
      <c r="D136" s="2"/>
      <c r="E136" s="2"/>
      <c r="F136" s="2"/>
      <c r="G136" s="2"/>
      <c r="H136" s="2"/>
      <c r="I136" s="2"/>
      <c r="J136" s="2"/>
    </row>
    <row r="137" spans="3:10">
      <c r="C137" s="2"/>
      <c r="D137" s="2"/>
      <c r="E137" s="2"/>
      <c r="F137" s="2"/>
      <c r="G137" s="2"/>
      <c r="H137" s="2"/>
      <c r="I137" s="2"/>
      <c r="J137" s="2"/>
    </row>
    <row r="138" spans="3:10">
      <c r="C138" s="2"/>
      <c r="D138" s="2"/>
      <c r="E138" s="2"/>
      <c r="F138" s="2"/>
      <c r="G138" s="2"/>
      <c r="H138" s="2"/>
      <c r="I138" s="2"/>
      <c r="J138" s="2"/>
    </row>
    <row r="139" spans="3:10">
      <c r="C139" s="2"/>
      <c r="D139" s="2"/>
      <c r="E139" s="2"/>
      <c r="F139" s="2"/>
      <c r="G139" s="2"/>
      <c r="H139" s="2"/>
      <c r="I139" s="2"/>
      <c r="J139" s="2"/>
    </row>
    <row r="140" spans="3:10">
      <c r="C140" s="2"/>
      <c r="D140" s="2"/>
      <c r="E140" s="2"/>
      <c r="F140" s="2"/>
      <c r="G140" s="2"/>
      <c r="H140" s="2"/>
      <c r="I140" s="2"/>
      <c r="J140" s="2"/>
    </row>
    <row r="141" spans="3:10">
      <c r="C141" s="2"/>
      <c r="D141" s="2"/>
      <c r="E141" s="2"/>
      <c r="F141" s="2"/>
      <c r="G141" s="2"/>
      <c r="H141" s="2"/>
      <c r="I141" s="2"/>
      <c r="J141" s="2"/>
    </row>
    <row r="142" spans="3:10">
      <c r="C142" s="2"/>
      <c r="D142" s="2"/>
      <c r="E142" s="2"/>
      <c r="F142" s="2"/>
      <c r="G142" s="2"/>
      <c r="H142" s="2"/>
      <c r="I142" s="2"/>
      <c r="J142" s="2"/>
    </row>
    <row r="143" spans="3:10">
      <c r="C143" s="2"/>
      <c r="D143" s="2"/>
      <c r="E143" s="2"/>
      <c r="F143" s="2"/>
      <c r="G143" s="2"/>
      <c r="H143" s="2"/>
      <c r="I143" s="2"/>
      <c r="J143" s="2"/>
    </row>
    <row r="144" spans="3:10">
      <c r="C144" s="2"/>
      <c r="D144" s="2"/>
      <c r="E144" s="2"/>
      <c r="F144" s="2"/>
      <c r="G144" s="2"/>
      <c r="H144" s="2"/>
      <c r="I144" s="2"/>
      <c r="J144" s="2"/>
    </row>
    <row r="145" spans="1:10">
      <c r="C145" s="2"/>
      <c r="D145" s="2"/>
      <c r="E145" s="2"/>
      <c r="F145" s="2"/>
      <c r="G145" s="2"/>
      <c r="H145" s="2"/>
      <c r="I145" s="2"/>
      <c r="J145" s="2"/>
    </row>
    <row r="146" spans="1:10">
      <c r="C146" s="2"/>
      <c r="D146" s="2"/>
      <c r="E146" s="2"/>
      <c r="F146" s="2"/>
      <c r="G146" s="2"/>
      <c r="H146" s="2"/>
      <c r="I146" s="2"/>
      <c r="J146" s="2"/>
    </row>
    <row r="147" spans="1:10">
      <c r="C147" s="2"/>
      <c r="D147" s="2"/>
      <c r="E147" s="2"/>
      <c r="F147" s="2"/>
      <c r="G147" s="2"/>
      <c r="H147" s="2"/>
      <c r="I147" s="2"/>
      <c r="J147" s="2"/>
    </row>
    <row r="148" spans="1:10">
      <c r="C148" s="2"/>
      <c r="D148" s="2"/>
      <c r="E148" s="2"/>
      <c r="F148" s="2"/>
      <c r="G148" s="2"/>
      <c r="H148" s="2"/>
      <c r="I148" s="2"/>
      <c r="J148" s="2"/>
    </row>
    <row r="149" spans="1:10">
      <c r="C149" s="2"/>
      <c r="D149" s="2"/>
      <c r="E149" s="2"/>
      <c r="F149" s="2"/>
      <c r="G149" s="2"/>
      <c r="H149" s="2"/>
      <c r="I149" s="2"/>
      <c r="J149" s="2"/>
    </row>
    <row r="150" spans="1:10">
      <c r="C150" s="2"/>
      <c r="D150" s="2"/>
      <c r="E150" s="2"/>
      <c r="F150" s="2"/>
      <c r="G150" s="2"/>
      <c r="H150" s="2"/>
      <c r="I150" s="2"/>
      <c r="J150" s="2"/>
    </row>
    <row r="151" spans="1:10" ht="11.45" customHeight="1">
      <c r="C151" s="2"/>
      <c r="D151" s="2"/>
      <c r="E151" s="2"/>
      <c r="F151" s="2"/>
      <c r="G151" s="2"/>
      <c r="H151" s="2"/>
      <c r="I151" s="2"/>
      <c r="J151" s="2"/>
    </row>
    <row r="152" spans="1:10" ht="18">
      <c r="A152" s="959" t="s">
        <v>126</v>
      </c>
      <c r="B152" s="959"/>
      <c r="C152" s="959"/>
      <c r="D152" s="959"/>
      <c r="E152" s="959"/>
      <c r="F152" s="959"/>
      <c r="G152" s="959"/>
      <c r="H152" s="959"/>
      <c r="I152" s="959"/>
      <c r="J152" s="959"/>
    </row>
    <row r="153" spans="1:10">
      <c r="C153" s="2"/>
      <c r="D153" s="2"/>
      <c r="E153" s="2"/>
      <c r="F153" s="2"/>
      <c r="G153" s="2"/>
      <c r="H153" s="2"/>
      <c r="I153" s="2"/>
      <c r="J153" s="2"/>
    </row>
    <row r="154" spans="1:10">
      <c r="C154" s="944" t="str">
        <f>SUMEXPEN!D4</f>
        <v>2023-2024</v>
      </c>
      <c r="D154" s="945"/>
      <c r="E154" s="2"/>
      <c r="F154" s="944" t="str">
        <f>SUMEXPEN!$F$4</f>
        <v>2024-2025</v>
      </c>
      <c r="G154" s="945"/>
      <c r="H154" s="2"/>
      <c r="I154" s="944" t="str">
        <f>SUMEXPEN!$I$4</f>
        <v>2025-2026</v>
      </c>
      <c r="J154" s="945"/>
    </row>
    <row r="155" spans="1:10" ht="15.75" thickBot="1">
      <c r="C155" s="942" t="s">
        <v>5</v>
      </c>
      <c r="D155" s="943"/>
      <c r="E155" s="2"/>
      <c r="F155" s="942" t="s">
        <v>5</v>
      </c>
      <c r="G155" s="943"/>
      <c r="H155" s="2"/>
      <c r="I155" s="942" t="s">
        <v>6</v>
      </c>
      <c r="J155" s="943"/>
    </row>
    <row r="156" spans="1:10">
      <c r="A156" s="152" t="s">
        <v>8</v>
      </c>
      <c r="C156" s="949">
        <f>SUMEXPEN!$D$359</f>
        <v>938685</v>
      </c>
      <c r="D156" s="950"/>
      <c r="E156" s="2"/>
      <c r="F156" s="980">
        <f>SUMEXPEN!$F$359</f>
        <v>1968697</v>
      </c>
      <c r="G156" s="981"/>
      <c r="H156" s="2"/>
      <c r="I156" s="980">
        <f>SUMEXPEN!$J$359</f>
        <v>1412804</v>
      </c>
      <c r="J156" s="981"/>
    </row>
    <row r="157" spans="1:10">
      <c r="A157" s="160" t="s">
        <v>10</v>
      </c>
      <c r="C157" s="947">
        <f>SUMEXPEN!$D$423</f>
        <v>2063</v>
      </c>
      <c r="D157" s="948"/>
      <c r="E157" s="2"/>
      <c r="F157" s="947">
        <f>SUMEXPEN!$F$423</f>
        <v>267</v>
      </c>
      <c r="G157" s="948"/>
      <c r="H157" s="2"/>
      <c r="I157" s="947">
        <f>SUMEXPEN!$J$423</f>
        <v>0</v>
      </c>
      <c r="J157" s="948"/>
    </row>
    <row r="158" spans="1:10">
      <c r="A158" s="152" t="s">
        <v>11</v>
      </c>
      <c r="C158" s="957">
        <f>SUMEXPEN!$D$487</f>
        <v>1258</v>
      </c>
      <c r="D158" s="958"/>
      <c r="E158" s="2"/>
      <c r="F158" s="957">
        <f>SUMEXPEN!$F$487</f>
        <v>240</v>
      </c>
      <c r="G158" s="958"/>
      <c r="H158" s="2"/>
      <c r="I158" s="957">
        <f>SUMEXPEN!$J$487</f>
        <v>100</v>
      </c>
      <c r="J158" s="958"/>
    </row>
    <row r="159" spans="1:10">
      <c r="A159" s="160" t="s">
        <v>131</v>
      </c>
      <c r="C159" s="947">
        <f>SUMEXPEN!$D$552+SUMEXPEN!$D$616+SUMEXPEN!$D$680</f>
        <v>256195</v>
      </c>
      <c r="D159" s="948"/>
      <c r="E159" s="2"/>
      <c r="F159" s="947">
        <f>SUMEXPEN!$F$552+SUMEXPEN!$F$616+SUMEXPEN!$F$680</f>
        <v>263732</v>
      </c>
      <c r="G159" s="948"/>
      <c r="H159" s="2"/>
      <c r="I159" s="947">
        <f>SUMEXPEN!$J$552+SUMEXPEN!$J$616+SUMEXPEN!$J$680</f>
        <v>266917</v>
      </c>
      <c r="J159" s="948"/>
    </row>
    <row r="160" spans="1:10">
      <c r="A160" s="152" t="s">
        <v>12</v>
      </c>
      <c r="C160" s="957">
        <f>SUMEXPEN!$D$744</f>
        <v>397475</v>
      </c>
      <c r="D160" s="958"/>
      <c r="E160" s="2"/>
      <c r="F160" s="957">
        <f>SUMEXPEN!$F$744</f>
        <v>693565</v>
      </c>
      <c r="G160" s="958"/>
      <c r="H160" s="2"/>
      <c r="I160" s="957">
        <f>SUMEXPEN!$J$744</f>
        <v>624676</v>
      </c>
      <c r="J160" s="958"/>
    </row>
    <row r="161" spans="1:14">
      <c r="A161" s="160" t="s">
        <v>13</v>
      </c>
      <c r="C161" s="947">
        <f>SUMEXPEN!$D$808</f>
        <v>54953</v>
      </c>
      <c r="D161" s="948"/>
      <c r="E161" s="2"/>
      <c r="F161" s="947">
        <f>SUMEXPEN!$F$808</f>
        <v>58431</v>
      </c>
      <c r="G161" s="948"/>
      <c r="H161" s="2"/>
      <c r="I161" s="947">
        <f>SUMEXPEN!$J$808</f>
        <v>191507</v>
      </c>
      <c r="J161" s="948"/>
    </row>
    <row r="162" spans="1:14">
      <c r="A162" s="152" t="s">
        <v>14</v>
      </c>
      <c r="C162" s="957">
        <f>SUMEXPEN!$D$936</f>
        <v>122157</v>
      </c>
      <c r="D162" s="958"/>
      <c r="E162" s="2"/>
      <c r="F162" s="957">
        <f>SUMEXPEN!$F$936</f>
        <v>133439</v>
      </c>
      <c r="G162" s="958"/>
      <c r="H162" s="2"/>
      <c r="I162" s="957">
        <f>SUMEXPEN!$J$936</f>
        <v>129500</v>
      </c>
      <c r="J162" s="958"/>
    </row>
    <row r="163" spans="1:14">
      <c r="A163" s="160" t="s">
        <v>15</v>
      </c>
      <c r="C163" s="947">
        <f>SUMEXPEN!$D$1065</f>
        <v>39926</v>
      </c>
      <c r="D163" s="948"/>
      <c r="E163" s="2"/>
      <c r="F163" s="947">
        <f>SUMEXPEN!$F$1065</f>
        <v>0</v>
      </c>
      <c r="G163" s="948"/>
      <c r="H163" s="2"/>
      <c r="I163" s="947">
        <f>SUMEXPEN!$J$1065</f>
        <v>25000</v>
      </c>
      <c r="J163" s="948"/>
    </row>
    <row r="164" spans="1:14">
      <c r="A164" s="152" t="s">
        <v>16</v>
      </c>
      <c r="C164" s="957">
        <f>SUMEXPEN!$D$1129</f>
        <v>153725</v>
      </c>
      <c r="D164" s="958"/>
      <c r="E164" s="2"/>
      <c r="F164" s="957">
        <f>SUMEXPEN!$F$1129</f>
        <v>154900</v>
      </c>
      <c r="G164" s="958"/>
      <c r="H164" s="2"/>
      <c r="I164" s="957">
        <f>SUMEXPEN!$J$1129</f>
        <v>154900</v>
      </c>
      <c r="J164" s="958"/>
    </row>
    <row r="165" spans="1:14" ht="15.75" thickBot="1">
      <c r="A165" s="169" t="s">
        <v>17</v>
      </c>
      <c r="C165" s="955">
        <f>SUMEXPEN!$D$872+SUMEXPEN!$D$1000</f>
        <v>7174</v>
      </c>
      <c r="D165" s="956"/>
      <c r="E165" s="2"/>
      <c r="F165" s="955">
        <f>SUMEXPEN!$F$872+SUMEXPEN!$F$1000</f>
        <v>219</v>
      </c>
      <c r="G165" s="956"/>
      <c r="H165" s="2"/>
      <c r="I165" s="955">
        <f>SUMEXPEN!$J$872+SUMEXPEN!$J$1000</f>
        <v>0</v>
      </c>
      <c r="J165" s="956"/>
    </row>
    <row r="166" spans="1:14" ht="15.75" thickTop="1">
      <c r="A166" s="496" t="s">
        <v>192</v>
      </c>
      <c r="C166" s="953">
        <f>SUMEXPEN!$D$16</f>
        <v>1973611</v>
      </c>
      <c r="D166" s="954"/>
      <c r="F166" s="953">
        <f>SUMEXPEN!$F$16</f>
        <v>3273490</v>
      </c>
      <c r="G166" s="954"/>
      <c r="I166" s="953">
        <f>SUMEXPEN!$I$16</f>
        <v>2805404</v>
      </c>
      <c r="J166" s="954"/>
    </row>
    <row r="167" spans="1:14" ht="5.0999999999999996" customHeight="1"/>
    <row r="168" spans="1:14" ht="65.25" customHeight="1">
      <c r="A168" s="865" t="str">
        <f>SUMEXPEN!B24</f>
        <v>1.  Funds Included: (06) General, (07) Federal Funds, (08) Supplemental General, (10) Adult Education, (11) Preschool-Aged At-Risk, (12) Adult Supplemental Education,
     (13) At-Risk Education Fund, (14) Bilingual Education, (15) Virtual Education, (16) Capital Outlay, (18) Driver Education, (22) Extraordinary School Program, (26) Professional Development, 
     (28) Parent Education, (29) Summer School, (30) Special Education, (34) Career and Postsecondary Education, (35) Gifts &amp; Grants, (42) Special Liability Expense, 
     (44) School Retirement, (51) KPERS Special Retirement Contribution, (53) Contingency Reserve, (55) Textbook &amp; Student Material Revolving, (56) Activity Fund, (62) Bond &amp;
     Interest #1, (63) Bond &amp; Interest #2, (66) No-Fund Warrant, (67) Special Assessment, and (78) Special Education Coop Fund.
     Note: The Budgeted Total Expenditures may not match Code 99 due to budgeted transfers from (06) General and (08) Supplemental General to (53) Contingency Reserve 
     and (55) Textbook &amp; Student Material Revolving, which are not budgeted funds.</v>
      </c>
      <c r="B168" s="865"/>
      <c r="C168" s="865"/>
      <c r="D168" s="865"/>
      <c r="E168" s="865"/>
      <c r="F168" s="865"/>
      <c r="G168" s="865"/>
      <c r="H168" s="865"/>
      <c r="I168" s="865"/>
      <c r="J168" s="865"/>
      <c r="K168" s="553"/>
    </row>
    <row r="170" spans="1:14">
      <c r="L170" s="46" t="str">
        <f>C154</f>
        <v>2023-2024</v>
      </c>
      <c r="M170" s="46" t="str">
        <f>F154</f>
        <v>2024-2025</v>
      </c>
      <c r="N170" s="46" t="str">
        <f>I154</f>
        <v>2025-2026</v>
      </c>
    </row>
    <row r="171" spans="1:14">
      <c r="K171" s="2" t="str">
        <f>IF(AND($C156&lt;=0,$F156&lt;=0,$I156&lt;=0),"",$A156)</f>
        <v>Instruction</v>
      </c>
      <c r="L171" s="498">
        <f t="shared" ref="L171:L181" si="0">IF(AND($C156&lt;=0,$F156&lt;=0,$I156&lt;=0),#N/A,IF(C156&lt;=0,0,C156))</f>
        <v>938685</v>
      </c>
      <c r="M171" s="498">
        <f t="shared" ref="M171:M181" si="1">IF(AND($C156&lt;=0,$F156&lt;=0,$I156&lt;=0),#N/A,IF(F156&lt;=0,0,F156))</f>
        <v>1968697</v>
      </c>
      <c r="N171" s="498">
        <f t="shared" ref="N171:N181" si="2">IF(AND($C156&lt;=0,$F156&lt;=0,$I156&lt;=0),#N/A,IF(I156&lt;=0,0,I156))</f>
        <v>1412804</v>
      </c>
    </row>
    <row r="172" spans="1:14">
      <c r="K172" s="2" t="str">
        <f t="shared" ref="K172:K181" si="3">IF(AND($C157&lt;=0,$F157&lt;=0,$I157&lt;=0),"",$A157)</f>
        <v>Student Support</v>
      </c>
      <c r="L172" s="498">
        <f t="shared" si="0"/>
        <v>2063</v>
      </c>
      <c r="M172" s="498">
        <f t="shared" si="1"/>
        <v>267</v>
      </c>
      <c r="N172" s="498">
        <f t="shared" si="2"/>
        <v>0</v>
      </c>
    </row>
    <row r="173" spans="1:14">
      <c r="K173" s="2" t="str">
        <f t="shared" si="3"/>
        <v>Instructional Support</v>
      </c>
      <c r="L173" s="498">
        <f t="shared" si="0"/>
        <v>1258</v>
      </c>
      <c r="M173" s="498">
        <f t="shared" si="1"/>
        <v>240</v>
      </c>
      <c r="N173" s="498">
        <f t="shared" si="2"/>
        <v>100</v>
      </c>
    </row>
    <row r="174" spans="1:14">
      <c r="K174" s="2" t="str">
        <f t="shared" si="3"/>
        <v>Administration &amp; Support</v>
      </c>
      <c r="L174" s="498">
        <f t="shared" si="0"/>
        <v>256195</v>
      </c>
      <c r="M174" s="498">
        <f t="shared" si="1"/>
        <v>263732</v>
      </c>
      <c r="N174" s="498">
        <f t="shared" si="2"/>
        <v>266917</v>
      </c>
    </row>
    <row r="175" spans="1:14">
      <c r="K175" s="2" t="str">
        <f t="shared" si="3"/>
        <v>Operations &amp; Maintenance</v>
      </c>
      <c r="L175" s="498">
        <f t="shared" si="0"/>
        <v>397475</v>
      </c>
      <c r="M175" s="498">
        <f t="shared" si="1"/>
        <v>693565</v>
      </c>
      <c r="N175" s="498">
        <f t="shared" si="2"/>
        <v>624676</v>
      </c>
    </row>
    <row r="176" spans="1:14">
      <c r="K176" s="2" t="str">
        <f t="shared" si="3"/>
        <v>Transportation</v>
      </c>
      <c r="L176" s="498">
        <f t="shared" si="0"/>
        <v>54953</v>
      </c>
      <c r="M176" s="498">
        <f t="shared" si="1"/>
        <v>58431</v>
      </c>
      <c r="N176" s="498">
        <f t="shared" si="2"/>
        <v>191507</v>
      </c>
    </row>
    <row r="177" spans="11:14">
      <c r="K177" s="2" t="str">
        <f t="shared" si="3"/>
        <v>Food Services</v>
      </c>
      <c r="L177" s="498">
        <f t="shared" si="0"/>
        <v>122157</v>
      </c>
      <c r="M177" s="498">
        <f t="shared" si="1"/>
        <v>133439</v>
      </c>
      <c r="N177" s="498">
        <f t="shared" si="2"/>
        <v>129500</v>
      </c>
    </row>
    <row r="178" spans="11:14">
      <c r="K178" s="2" t="str">
        <f t="shared" si="3"/>
        <v>Capital Improvements</v>
      </c>
      <c r="L178" s="498">
        <f t="shared" si="0"/>
        <v>39926</v>
      </c>
      <c r="M178" s="498">
        <f t="shared" si="1"/>
        <v>0</v>
      </c>
      <c r="N178" s="498">
        <f t="shared" si="2"/>
        <v>25000</v>
      </c>
    </row>
    <row r="179" spans="11:14">
      <c r="K179" s="2" t="str">
        <f t="shared" si="3"/>
        <v>Debt Services</v>
      </c>
      <c r="L179" s="498">
        <f t="shared" si="0"/>
        <v>153725</v>
      </c>
      <c r="M179" s="498">
        <f t="shared" si="1"/>
        <v>154900</v>
      </c>
      <c r="N179" s="498">
        <f t="shared" si="2"/>
        <v>154900</v>
      </c>
    </row>
    <row r="180" spans="11:14">
      <c r="K180" s="2" t="str">
        <f t="shared" si="3"/>
        <v>Other Costs</v>
      </c>
      <c r="L180" s="498">
        <f t="shared" si="0"/>
        <v>7174</v>
      </c>
      <c r="M180" s="498">
        <f t="shared" si="1"/>
        <v>219</v>
      </c>
      <c r="N180" s="498">
        <f t="shared" si="2"/>
        <v>0</v>
      </c>
    </row>
    <row r="181" spans="11:14">
      <c r="K181" s="2" t="str">
        <f t="shared" si="3"/>
        <v>Total Expenditures¹</v>
      </c>
      <c r="L181" s="498">
        <f t="shared" si="0"/>
        <v>1973611</v>
      </c>
      <c r="M181" s="498">
        <f t="shared" si="1"/>
        <v>3273490</v>
      </c>
      <c r="N181" s="498">
        <f t="shared" si="2"/>
        <v>2805404</v>
      </c>
    </row>
    <row r="182" spans="11:14">
      <c r="L182" s="498"/>
      <c r="M182" s="498"/>
      <c r="N182" s="498"/>
    </row>
    <row r="183" spans="11:14">
      <c r="L183" s="498"/>
      <c r="M183" s="498"/>
      <c r="N183" s="498"/>
    </row>
    <row r="184" spans="11:14">
      <c r="L184" s="498"/>
      <c r="M184" s="498"/>
      <c r="N184" s="498"/>
    </row>
    <row r="213" spans="1:10" ht="9.9499999999999993" customHeight="1"/>
    <row r="214" spans="1:10" ht="18">
      <c r="A214" s="959" t="s">
        <v>200</v>
      </c>
      <c r="B214" s="959"/>
      <c r="C214" s="959"/>
      <c r="D214" s="959"/>
      <c r="E214" s="959"/>
      <c r="F214" s="959"/>
      <c r="G214" s="959"/>
      <c r="H214" s="959"/>
      <c r="I214" s="959"/>
      <c r="J214" s="959"/>
    </row>
    <row r="216" spans="1:10">
      <c r="C216" s="944" t="str">
        <f>SUMEXPEN!$D$4</f>
        <v>2023-2024</v>
      </c>
      <c r="D216" s="945"/>
      <c r="F216" s="944" t="str">
        <f>SUMEXPEN!$F$4</f>
        <v>2024-2025</v>
      </c>
      <c r="G216" s="945"/>
      <c r="I216" s="944" t="str">
        <f>SUMEXPEN!$I$4</f>
        <v>2025-2026</v>
      </c>
      <c r="J216" s="945"/>
    </row>
    <row r="217" spans="1:10" ht="15.75" thickBot="1">
      <c r="C217" s="942" t="s">
        <v>5</v>
      </c>
      <c r="D217" s="943"/>
      <c r="F217" s="942" t="s">
        <v>5</v>
      </c>
      <c r="G217" s="943"/>
      <c r="I217" s="942" t="s">
        <v>6</v>
      </c>
      <c r="J217" s="943"/>
    </row>
    <row r="218" spans="1:10">
      <c r="A218" s="152" t="s">
        <v>8</v>
      </c>
      <c r="C218" s="949">
        <f t="shared" ref="C218:C227" si="4">C156/$C$229</f>
        <v>13277</v>
      </c>
      <c r="D218" s="950"/>
      <c r="F218" s="949">
        <f t="shared" ref="F218:F227" si="5">F156/$F$229</f>
        <v>23863</v>
      </c>
      <c r="G218" s="950"/>
      <c r="I218" s="949">
        <f t="shared" ref="I218:I227" si="6">I156/$I$229</f>
        <v>20183</v>
      </c>
      <c r="J218" s="950"/>
    </row>
    <row r="219" spans="1:10">
      <c r="A219" s="160" t="s">
        <v>10</v>
      </c>
      <c r="C219" s="947">
        <f t="shared" si="4"/>
        <v>29</v>
      </c>
      <c r="D219" s="948"/>
      <c r="F219" s="947">
        <f t="shared" si="5"/>
        <v>3</v>
      </c>
      <c r="G219" s="948"/>
      <c r="I219" s="947">
        <f t="shared" si="6"/>
        <v>0</v>
      </c>
      <c r="J219" s="948"/>
    </row>
    <row r="220" spans="1:10">
      <c r="A220" s="152" t="s">
        <v>11</v>
      </c>
      <c r="C220" s="957">
        <f t="shared" si="4"/>
        <v>18</v>
      </c>
      <c r="D220" s="958"/>
      <c r="F220" s="957">
        <f t="shared" si="5"/>
        <v>3</v>
      </c>
      <c r="G220" s="958"/>
      <c r="I220" s="957">
        <f t="shared" si="6"/>
        <v>1</v>
      </c>
      <c r="J220" s="958"/>
    </row>
    <row r="221" spans="1:10">
      <c r="A221" s="160" t="s">
        <v>131</v>
      </c>
      <c r="C221" s="947">
        <f t="shared" si="4"/>
        <v>3624</v>
      </c>
      <c r="D221" s="948"/>
      <c r="F221" s="947">
        <f t="shared" si="5"/>
        <v>3197</v>
      </c>
      <c r="G221" s="948"/>
      <c r="I221" s="947">
        <f t="shared" si="6"/>
        <v>3813</v>
      </c>
      <c r="J221" s="948"/>
    </row>
    <row r="222" spans="1:10">
      <c r="A222" s="152" t="s">
        <v>12</v>
      </c>
      <c r="C222" s="957">
        <f t="shared" si="4"/>
        <v>5622</v>
      </c>
      <c r="D222" s="958"/>
      <c r="F222" s="957">
        <f t="shared" si="5"/>
        <v>8407</v>
      </c>
      <c r="G222" s="958"/>
      <c r="I222" s="957">
        <f t="shared" si="6"/>
        <v>8924</v>
      </c>
      <c r="J222" s="958"/>
    </row>
    <row r="223" spans="1:10">
      <c r="A223" s="160" t="s">
        <v>13</v>
      </c>
      <c r="C223" s="947">
        <f t="shared" si="4"/>
        <v>777</v>
      </c>
      <c r="D223" s="948"/>
      <c r="F223" s="947">
        <f t="shared" si="5"/>
        <v>708</v>
      </c>
      <c r="G223" s="948"/>
      <c r="I223" s="947">
        <f t="shared" si="6"/>
        <v>2736</v>
      </c>
      <c r="J223" s="948"/>
    </row>
    <row r="224" spans="1:10">
      <c r="A224" s="152" t="s">
        <v>14</v>
      </c>
      <c r="C224" s="957">
        <f t="shared" si="4"/>
        <v>1728</v>
      </c>
      <c r="D224" s="958"/>
      <c r="F224" s="957">
        <f t="shared" si="5"/>
        <v>1617</v>
      </c>
      <c r="G224" s="958"/>
      <c r="I224" s="957">
        <f t="shared" si="6"/>
        <v>1850</v>
      </c>
      <c r="J224" s="958"/>
    </row>
    <row r="225" spans="1:14">
      <c r="A225" s="160" t="s">
        <v>15</v>
      </c>
      <c r="C225" s="947">
        <f t="shared" si="4"/>
        <v>565</v>
      </c>
      <c r="D225" s="948"/>
      <c r="F225" s="947">
        <f t="shared" si="5"/>
        <v>0</v>
      </c>
      <c r="G225" s="948"/>
      <c r="I225" s="947">
        <f t="shared" si="6"/>
        <v>357</v>
      </c>
      <c r="J225" s="948"/>
    </row>
    <row r="226" spans="1:14">
      <c r="A226" s="152" t="s">
        <v>16</v>
      </c>
      <c r="C226" s="957">
        <f t="shared" si="4"/>
        <v>2174</v>
      </c>
      <c r="D226" s="958"/>
      <c r="F226" s="957">
        <f t="shared" si="5"/>
        <v>1878</v>
      </c>
      <c r="G226" s="958"/>
      <c r="I226" s="957">
        <f t="shared" si="6"/>
        <v>2213</v>
      </c>
      <c r="J226" s="958"/>
    </row>
    <row r="227" spans="1:14" ht="15.75" thickBot="1">
      <c r="A227" s="160" t="s">
        <v>17</v>
      </c>
      <c r="C227" s="955">
        <f t="shared" si="4"/>
        <v>101</v>
      </c>
      <c r="D227" s="956"/>
      <c r="F227" s="955">
        <f t="shared" si="5"/>
        <v>3</v>
      </c>
      <c r="G227" s="956"/>
      <c r="I227" s="955">
        <f t="shared" si="6"/>
        <v>0</v>
      </c>
      <c r="J227" s="956"/>
    </row>
    <row r="228" spans="1:14" ht="15.75" thickTop="1">
      <c r="A228" s="501" t="s">
        <v>192</v>
      </c>
      <c r="C228" s="953">
        <f>SUMEXPEN!$D$17</f>
        <v>27915</v>
      </c>
      <c r="D228" s="954">
        <f>SUMEXPEN!$D$17</f>
        <v>27915</v>
      </c>
      <c r="F228" s="953">
        <f>SUMEXPEN!$F$17</f>
        <v>39679</v>
      </c>
      <c r="G228" s="954">
        <f>SUMEXPEN!$F$17</f>
        <v>39679</v>
      </c>
      <c r="I228" s="953">
        <f>SUMEXPEN!$I$17</f>
        <v>40077</v>
      </c>
      <c r="J228" s="954">
        <f>SUMEXPEN!$I$17</f>
        <v>40077</v>
      </c>
    </row>
    <row r="229" spans="1:14" ht="15.75">
      <c r="A229" s="1" t="s">
        <v>193</v>
      </c>
      <c r="C229" s="951">
        <f>SUMEXPEN!$D$354</f>
        <v>70.7</v>
      </c>
      <c r="D229" s="952">
        <f>SUMEXPEN!$D$354</f>
        <v>70.7</v>
      </c>
      <c r="E229" s="554"/>
      <c r="F229" s="951">
        <f>SUMEXPEN!$F$354</f>
        <v>82.5</v>
      </c>
      <c r="G229" s="952">
        <f>SUMEXPEN!$F$354</f>
        <v>82.5</v>
      </c>
      <c r="H229" s="554"/>
      <c r="I229" s="951">
        <f>SUMEXPEN!$J$354</f>
        <v>70</v>
      </c>
      <c r="J229" s="952">
        <f>SUMEXPEN!$J$354</f>
        <v>70</v>
      </c>
    </row>
    <row r="230" spans="1:14" ht="5.0999999999999996" customHeight="1"/>
    <row r="231" spans="1:14" ht="69.75" customHeight="1">
      <c r="A231" s="946" t="str">
        <f>SUMEXPEN!B24</f>
        <v>1.  Funds Included: (06) General, (07) Federal Funds, (08) Supplemental General, (10) Adult Education, (11) Preschool-Aged At-Risk, (12) Adult Supplemental Education,
     (13) At-Risk Education Fund, (14) Bilingual Education, (15) Virtual Education, (16) Capital Outlay, (18) Driver Education, (22) Extraordinary School Program, (26) Professional Development, 
     (28) Parent Education, (29) Summer School, (30) Special Education, (34) Career and Postsecondary Education, (35) Gifts &amp; Grants, (42) Special Liability Expense, 
     (44) School Retirement, (51) KPERS Special Retirement Contribution, (53) Contingency Reserve, (55) Textbook &amp; Student Material Revolving, (56) Activity Fund, (62) Bond &amp;
     Interest #1, (63) Bond &amp; Interest #2, (66) No-Fund Warrant, (67) Special Assessment, and (78) Special Education Coop Fund.
     Note: The Budgeted Total Expenditures may not match Code 99 due to budgeted transfers from (06) General and (08) Supplemental General to (53) Contingency Reserve 
     and (55) Textbook &amp; Student Material Revolving, which are not budgeted funds.</v>
      </c>
      <c r="B231" s="946"/>
      <c r="C231" s="946"/>
      <c r="D231" s="946"/>
      <c r="E231" s="946"/>
      <c r="F231" s="946"/>
      <c r="G231" s="946"/>
      <c r="H231" s="946"/>
      <c r="I231" s="946"/>
      <c r="J231" s="946"/>
    </row>
    <row r="233" spans="1:14">
      <c r="K233" s="2"/>
      <c r="L233" s="159" t="str">
        <f>$C$216</f>
        <v>2023-2024</v>
      </c>
      <c r="M233" s="159" t="str">
        <f>F216</f>
        <v>2024-2025</v>
      </c>
      <c r="N233" s="159" t="str">
        <f>I216</f>
        <v>2025-2026</v>
      </c>
    </row>
    <row r="234" spans="1:14">
      <c r="K234" s="2" t="str">
        <f t="shared" ref="K234:K243" si="7">IF(AND($C218&lt;=0,$F218&lt;=0,$I218&lt;=0),"",$A218)</f>
        <v>Instruction</v>
      </c>
      <c r="L234" s="498">
        <f t="shared" ref="L234:L244" si="8">IF(AND($C218&lt;=0,$F218&lt;=0,$I218&lt;=0),#N/A,IF(C218&lt;=0,0,C218))</f>
        <v>13277</v>
      </c>
      <c r="M234" s="498">
        <f>IF(AND($C218&lt;=0,$F218&lt;=0,$I218&lt;=0),#N/A,IF(F218&lt;=0,0,F218))</f>
        <v>23863</v>
      </c>
      <c r="N234" s="498">
        <f>IF(AND($C218&lt;=0,$F218&lt;=0,$I218&lt;=0),#N/A,IF(I218&lt;=0,0,I218))</f>
        <v>20183</v>
      </c>
    </row>
    <row r="235" spans="1:14">
      <c r="K235" s="2" t="str">
        <f t="shared" si="7"/>
        <v>Student Support</v>
      </c>
      <c r="L235" s="498">
        <f t="shared" si="8"/>
        <v>29</v>
      </c>
      <c r="M235" s="498">
        <f t="shared" ref="M235:M244" si="9">IF(AND($C219&lt;=0,$F219&lt;=0,$I219&lt;=0),#N/A,IF(F219&lt;=0,0,F219))</f>
        <v>3</v>
      </c>
      <c r="N235" s="498">
        <f t="shared" ref="N235:N244" si="10">IF(AND($C219&lt;=0,$F219&lt;=0,$I219&lt;=0),#N/A,IF(I219&lt;=0,0,I219))</f>
        <v>0</v>
      </c>
    </row>
    <row r="236" spans="1:14">
      <c r="K236" s="2" t="str">
        <f t="shared" si="7"/>
        <v>Instructional Support</v>
      </c>
      <c r="L236" s="498">
        <f t="shared" si="8"/>
        <v>18</v>
      </c>
      <c r="M236" s="498">
        <f t="shared" si="9"/>
        <v>3</v>
      </c>
      <c r="N236" s="498">
        <f t="shared" si="10"/>
        <v>1</v>
      </c>
    </row>
    <row r="237" spans="1:14">
      <c r="K237" s="2" t="str">
        <f t="shared" si="7"/>
        <v>Administration &amp; Support</v>
      </c>
      <c r="L237" s="498">
        <f t="shared" si="8"/>
        <v>3624</v>
      </c>
      <c r="M237" s="498">
        <f t="shared" si="9"/>
        <v>3197</v>
      </c>
      <c r="N237" s="498">
        <f t="shared" si="10"/>
        <v>3813</v>
      </c>
    </row>
    <row r="238" spans="1:14">
      <c r="K238" s="2" t="str">
        <f t="shared" si="7"/>
        <v>Operations &amp; Maintenance</v>
      </c>
      <c r="L238" s="498">
        <f t="shared" si="8"/>
        <v>5622</v>
      </c>
      <c r="M238" s="498">
        <f t="shared" si="9"/>
        <v>8407</v>
      </c>
      <c r="N238" s="498">
        <f t="shared" si="10"/>
        <v>8924</v>
      </c>
    </row>
    <row r="239" spans="1:14">
      <c r="K239" s="2" t="str">
        <f t="shared" si="7"/>
        <v>Transportation</v>
      </c>
      <c r="L239" s="498">
        <f t="shared" si="8"/>
        <v>777</v>
      </c>
      <c r="M239" s="498">
        <f t="shared" si="9"/>
        <v>708</v>
      </c>
      <c r="N239" s="498">
        <f t="shared" si="10"/>
        <v>2736</v>
      </c>
    </row>
    <row r="240" spans="1:14">
      <c r="K240" s="2" t="str">
        <f t="shared" si="7"/>
        <v>Food Services</v>
      </c>
      <c r="L240" s="498">
        <f t="shared" si="8"/>
        <v>1728</v>
      </c>
      <c r="M240" s="498">
        <f t="shared" si="9"/>
        <v>1617</v>
      </c>
      <c r="N240" s="498">
        <f t="shared" si="10"/>
        <v>1850</v>
      </c>
    </row>
    <row r="241" spans="11:14">
      <c r="K241" s="2" t="str">
        <f t="shared" si="7"/>
        <v>Capital Improvements</v>
      </c>
      <c r="L241" s="498">
        <f t="shared" si="8"/>
        <v>565</v>
      </c>
      <c r="M241" s="498">
        <f t="shared" si="9"/>
        <v>0</v>
      </c>
      <c r="N241" s="498">
        <f t="shared" si="10"/>
        <v>357</v>
      </c>
    </row>
    <row r="242" spans="11:14">
      <c r="K242" s="139" t="str">
        <f t="shared" si="7"/>
        <v>Debt Services</v>
      </c>
      <c r="L242" s="503">
        <f t="shared" si="8"/>
        <v>2174</v>
      </c>
      <c r="M242" s="498">
        <f t="shared" si="9"/>
        <v>1878</v>
      </c>
      <c r="N242" s="498">
        <f t="shared" si="10"/>
        <v>2213</v>
      </c>
    </row>
    <row r="243" spans="11:14">
      <c r="K243" s="139" t="str">
        <f t="shared" si="7"/>
        <v>Other Costs</v>
      </c>
      <c r="L243" s="503">
        <f t="shared" si="8"/>
        <v>101</v>
      </c>
      <c r="M243" s="498">
        <f t="shared" si="9"/>
        <v>3</v>
      </c>
      <c r="N243" s="498">
        <f t="shared" si="10"/>
        <v>0</v>
      </c>
    </row>
    <row r="244" spans="11:14">
      <c r="K244" s="139" t="str">
        <f>IF(AND($C228&lt;=0,$F228&lt;=0,$I228&lt;=0),"",LEFT($A228,LEN($A228)-1))</f>
        <v>Total Expenditures</v>
      </c>
      <c r="L244" s="503">
        <f t="shared" si="8"/>
        <v>27915</v>
      </c>
      <c r="M244" s="498">
        <f t="shared" si="9"/>
        <v>39679</v>
      </c>
      <c r="N244" s="498">
        <f t="shared" si="10"/>
        <v>40077</v>
      </c>
    </row>
    <row r="275" spans="1:10" ht="9.9499999999999993" customHeight="1"/>
    <row r="276" spans="1:10" ht="18">
      <c r="A276" s="84" t="s">
        <v>27</v>
      </c>
      <c r="B276" s="84"/>
      <c r="C276" s="84"/>
      <c r="D276" s="84"/>
      <c r="E276" s="84"/>
      <c r="F276" s="84"/>
      <c r="G276" s="84"/>
      <c r="H276" s="84"/>
      <c r="I276" s="84"/>
      <c r="J276" s="84"/>
    </row>
    <row r="277" spans="1:10" ht="18">
      <c r="A277" s="84" t="s">
        <v>188</v>
      </c>
      <c r="B277" s="84"/>
      <c r="C277" s="84"/>
      <c r="D277" s="84"/>
      <c r="E277" s="84"/>
      <c r="F277" s="84"/>
      <c r="G277" s="84"/>
      <c r="H277" s="84"/>
      <c r="I277" s="84"/>
      <c r="J277" s="84"/>
    </row>
    <row r="279" spans="1:10">
      <c r="A279" s="2"/>
      <c r="B279" s="270"/>
      <c r="C279" s="271" t="str">
        <f>SUMEXPEN!E192</f>
        <v>%</v>
      </c>
      <c r="D279" s="272"/>
      <c r="E279" s="271" t="str">
        <f>SUMEXPEN!G192</f>
        <v>%</v>
      </c>
      <c r="F279" s="271"/>
      <c r="G279" s="273"/>
      <c r="H279" s="271" t="str">
        <f>SUMEXPEN!J192</f>
        <v>%</v>
      </c>
      <c r="I279" s="808"/>
      <c r="J279" s="694"/>
    </row>
    <row r="280" spans="1:10">
      <c r="A280" s="2"/>
      <c r="B280" s="274" t="str">
        <f>SUMEXPEN!D193</f>
        <v>2023-2024</v>
      </c>
      <c r="C280" s="275" t="str">
        <f>SUMEXPEN!E193</f>
        <v>of</v>
      </c>
      <c r="D280" s="276" t="str">
        <f>SUMEXPEN!F193</f>
        <v>2024-2025</v>
      </c>
      <c r="E280" s="275" t="str">
        <f>SUMEXPEN!G193</f>
        <v>of</v>
      </c>
      <c r="F280" s="275" t="str">
        <f>SUMEXPEN!H193</f>
        <v>%</v>
      </c>
      <c r="G280" s="276" t="str">
        <f>SUMEXPEN!I193</f>
        <v>2025-2026</v>
      </c>
      <c r="H280" s="275" t="str">
        <f>SUMEXPEN!J193</f>
        <v>of</v>
      </c>
      <c r="I280" s="809" t="str">
        <f>SUMEXPEN!K193</f>
        <v>%</v>
      </c>
      <c r="J280" s="698"/>
    </row>
    <row r="281" spans="1:10">
      <c r="A281" s="2"/>
      <c r="B281" s="277" t="str">
        <f>SUMEXPEN!D194</f>
        <v>Actual</v>
      </c>
      <c r="C281" s="278" t="str">
        <f>SUMEXPEN!E194</f>
        <v>Total</v>
      </c>
      <c r="D281" s="278" t="str">
        <f>SUMEXPEN!F194</f>
        <v>Actual</v>
      </c>
      <c r="E281" s="278" t="str">
        <f>SUMEXPEN!G194</f>
        <v>Total</v>
      </c>
      <c r="F281" s="278" t="str">
        <f>SUMEXPEN!H194</f>
        <v>Change</v>
      </c>
      <c r="G281" s="278" t="str">
        <f>SUMEXPEN!I194</f>
        <v>Budget</v>
      </c>
      <c r="H281" s="278" t="str">
        <f>SUMEXPEN!J194</f>
        <v>Total</v>
      </c>
      <c r="I281" s="933" t="str">
        <f>SUMEXPEN!K194</f>
        <v>Change</v>
      </c>
      <c r="J281" s="803"/>
    </row>
    <row r="282" spans="1:10">
      <c r="A282" s="279" t="s">
        <v>8</v>
      </c>
      <c r="B282" s="280">
        <f>SUMEXPEN!D195</f>
        <v>516640</v>
      </c>
      <c r="C282" s="281">
        <f>SUMEXPEN!E195</f>
        <v>0.49</v>
      </c>
      <c r="D282" s="280">
        <f>SUMEXPEN!F195</f>
        <v>509814</v>
      </c>
      <c r="E282" s="281">
        <f>SUMEXPEN!G195</f>
        <v>0.51</v>
      </c>
      <c r="F282" s="281">
        <f>SUMEXPEN!H195</f>
        <v>-0.01</v>
      </c>
      <c r="G282" s="280">
        <f>SUMEXPEN!I195</f>
        <v>588606</v>
      </c>
      <c r="H282" s="281">
        <f>SUMEXPEN!J195</f>
        <v>0.46</v>
      </c>
      <c r="I282" s="935">
        <f>SUMEXPEN!K195</f>
        <v>0.15</v>
      </c>
      <c r="J282" s="936"/>
    </row>
    <row r="283" spans="1:10">
      <c r="A283" s="44" t="s">
        <v>10</v>
      </c>
      <c r="B283" s="226">
        <f>SUMEXPEN!D196</f>
        <v>2063</v>
      </c>
      <c r="C283" s="227">
        <f>SUMEXPEN!E196</f>
        <v>0</v>
      </c>
      <c r="D283" s="226">
        <f>SUMEXPEN!F196</f>
        <v>267</v>
      </c>
      <c r="E283" s="227" t="str">
        <f>SUMEXPEN!G196</f>
        <v>&lt;1%</v>
      </c>
      <c r="F283" s="227">
        <f>SUMEXPEN!H196</f>
        <v>-0.87</v>
      </c>
      <c r="G283" s="226">
        <f>SUMEXPEN!I196</f>
        <v>0</v>
      </c>
      <c r="H283" s="227">
        <f>SUMEXPEN!J196</f>
        <v>0</v>
      </c>
      <c r="I283" s="778">
        <f>SUMEXPEN!K196</f>
        <v>-1</v>
      </c>
      <c r="J283" s="937"/>
    </row>
    <row r="284" spans="1:10">
      <c r="A284" s="282" t="s">
        <v>11</v>
      </c>
      <c r="B284" s="283">
        <f>SUMEXPEN!D197</f>
        <v>0</v>
      </c>
      <c r="C284" s="284">
        <f>SUMEXPEN!E197</f>
        <v>0</v>
      </c>
      <c r="D284" s="283">
        <f>SUMEXPEN!F197</f>
        <v>195</v>
      </c>
      <c r="E284" s="284" t="str">
        <f>SUMEXPEN!G197</f>
        <v>&lt;1%</v>
      </c>
      <c r="F284" s="284">
        <f>SUMEXPEN!H197</f>
        <v>0</v>
      </c>
      <c r="G284" s="283">
        <f>SUMEXPEN!I197</f>
        <v>100</v>
      </c>
      <c r="H284" s="284" t="str">
        <f>SUMEXPEN!J197</f>
        <v>&lt;1%</v>
      </c>
      <c r="I284" s="935">
        <f>SUMEXPEN!K197</f>
        <v>-0.49</v>
      </c>
      <c r="J284" s="936"/>
    </row>
    <row r="285" spans="1:10">
      <c r="A285" s="44" t="s">
        <v>131</v>
      </c>
      <c r="B285" s="226">
        <f>SUMEXPEN!D198</f>
        <v>230019</v>
      </c>
      <c r="C285" s="227">
        <f>SUMEXPEN!E198</f>
        <v>0.22</v>
      </c>
      <c r="D285" s="226">
        <f>SUMEXPEN!F198</f>
        <v>241259</v>
      </c>
      <c r="E285" s="227">
        <f>SUMEXPEN!G198</f>
        <v>0.24</v>
      </c>
      <c r="F285" s="227">
        <f>SUMEXPEN!H198</f>
        <v>0.05</v>
      </c>
      <c r="G285" s="226">
        <f>SUMEXPEN!I198</f>
        <v>249850</v>
      </c>
      <c r="H285" s="227">
        <f>SUMEXPEN!J198</f>
        <v>0.19</v>
      </c>
      <c r="I285" s="778">
        <f>SUMEXPEN!K198</f>
        <v>0.04</v>
      </c>
      <c r="J285" s="937"/>
    </row>
    <row r="286" spans="1:10">
      <c r="A286" s="282" t="s">
        <v>12</v>
      </c>
      <c r="B286" s="283">
        <f>SUMEXPEN!D199</f>
        <v>249852</v>
      </c>
      <c r="C286" s="284">
        <f>SUMEXPEN!E199</f>
        <v>0.24</v>
      </c>
      <c r="D286" s="283">
        <f>SUMEXPEN!F199</f>
        <v>199155</v>
      </c>
      <c r="E286" s="284">
        <f>SUMEXPEN!G199</f>
        <v>0.2</v>
      </c>
      <c r="F286" s="284">
        <f>SUMEXPEN!H199</f>
        <v>-0.2</v>
      </c>
      <c r="G286" s="283">
        <f>SUMEXPEN!I199</f>
        <v>378442</v>
      </c>
      <c r="H286" s="284">
        <f>SUMEXPEN!J199</f>
        <v>0.28999999999999998</v>
      </c>
      <c r="I286" s="935">
        <f>SUMEXPEN!K199</f>
        <v>0.9</v>
      </c>
      <c r="J286" s="936"/>
    </row>
    <row r="287" spans="1:10">
      <c r="A287" s="44" t="s">
        <v>13</v>
      </c>
      <c r="B287" s="226">
        <f>SUMEXPEN!D200</f>
        <v>52305</v>
      </c>
      <c r="C287" s="227">
        <f>SUMEXPEN!E200</f>
        <v>0.05</v>
      </c>
      <c r="D287" s="226">
        <f>SUMEXPEN!F200</f>
        <v>56003</v>
      </c>
      <c r="E287" s="227">
        <f>SUMEXPEN!G200</f>
        <v>0.06</v>
      </c>
      <c r="F287" s="227">
        <f>SUMEXPEN!H200</f>
        <v>7.0000000000000007E-2</v>
      </c>
      <c r="G287" s="226">
        <f>SUMEXPEN!I200</f>
        <v>69599</v>
      </c>
      <c r="H287" s="227">
        <f>SUMEXPEN!J200</f>
        <v>0.05</v>
      </c>
      <c r="I287" s="778">
        <f>SUMEXPEN!K200</f>
        <v>0.24</v>
      </c>
      <c r="J287" s="937"/>
    </row>
    <row r="288" spans="1:10">
      <c r="A288" s="282" t="s">
        <v>15</v>
      </c>
      <c r="B288" s="283">
        <f>SUMEXPEN!D201</f>
        <v>0</v>
      </c>
      <c r="C288" s="284">
        <f>SUMEXPEN!E201</f>
        <v>0</v>
      </c>
      <c r="D288" s="283">
        <f>SUMEXPEN!F201</f>
        <v>0</v>
      </c>
      <c r="E288" s="284">
        <f>SUMEXPEN!G201</f>
        <v>0</v>
      </c>
      <c r="F288" s="284">
        <f>SUMEXPEN!H201</f>
        <v>0</v>
      </c>
      <c r="G288" s="283">
        <f>SUMEXPEN!I201</f>
        <v>0</v>
      </c>
      <c r="H288" s="284">
        <f>SUMEXPEN!J201</f>
        <v>0</v>
      </c>
      <c r="I288" s="935">
        <f>SUMEXPEN!K201</f>
        <v>0</v>
      </c>
      <c r="J288" s="936"/>
    </row>
    <row r="289" spans="1:10" ht="15.75" thickBot="1">
      <c r="A289" s="285" t="s">
        <v>17</v>
      </c>
      <c r="B289" s="286">
        <f>SUMEXPEN!D202</f>
        <v>7174</v>
      </c>
      <c r="C289" s="286">
        <f>SUMEXPEN!E202</f>
        <v>0</v>
      </c>
      <c r="D289" s="286">
        <f>SUMEXPEN!F202</f>
        <v>219</v>
      </c>
      <c r="E289" s="286" t="str">
        <f>SUMEXPEN!G202</f>
        <v>&lt;1%</v>
      </c>
      <c r="F289" s="287">
        <f>SUMEXPEN!H202</f>
        <v>-0.97</v>
      </c>
      <c r="G289" s="286">
        <f>SUMEXPEN!I202</f>
        <v>0</v>
      </c>
      <c r="H289" s="287">
        <f>SUMEXPEN!J202</f>
        <v>0</v>
      </c>
      <c r="I289" s="940">
        <f>SUMEXPEN!K202</f>
        <v>-1</v>
      </c>
      <c r="J289" s="941"/>
    </row>
    <row r="290" spans="1:10" ht="15.75" thickTop="1">
      <c r="A290" s="288" t="s">
        <v>23</v>
      </c>
      <c r="B290" s="290">
        <f>SUMEXPEN!D203</f>
        <v>1058053</v>
      </c>
      <c r="C290" s="291">
        <f>SUMEXPEN!E203</f>
        <v>1</v>
      </c>
      <c r="D290" s="290">
        <f>SUMEXPEN!F203</f>
        <v>1006912</v>
      </c>
      <c r="E290" s="291">
        <f>SUMEXPEN!G203</f>
        <v>1</v>
      </c>
      <c r="F290" s="291">
        <f>SUMEXPEN!H203</f>
        <v>-0.05</v>
      </c>
      <c r="G290" s="290">
        <f>SUMEXPEN!I203</f>
        <v>1286597</v>
      </c>
      <c r="H290" s="291">
        <f>SUMEXPEN!J203</f>
        <v>1</v>
      </c>
      <c r="I290" s="938">
        <f>SUMEXPEN!K203</f>
        <v>0.28000000000000003</v>
      </c>
      <c r="J290" s="939"/>
    </row>
    <row r="291" spans="1:10">
      <c r="A291" s="44" t="s">
        <v>19</v>
      </c>
      <c r="B291" s="292">
        <f>SUMEXPEN!D204</f>
        <v>14965</v>
      </c>
      <c r="C291" s="267">
        <f>SUMEXPEN!E204</f>
        <v>0</v>
      </c>
      <c r="D291" s="292">
        <f>SUMEXPEN!F204</f>
        <v>12205</v>
      </c>
      <c r="E291" s="267">
        <f>SUMEXPEN!G204</f>
        <v>0</v>
      </c>
      <c r="F291" s="247">
        <f>SUMEXPEN!H204</f>
        <v>-0.18</v>
      </c>
      <c r="G291" s="245">
        <f>SUMEXPEN!I204</f>
        <v>18380</v>
      </c>
      <c r="H291" s="267">
        <f>SUMEXPEN!J204</f>
        <v>0</v>
      </c>
      <c r="I291" s="778">
        <f>SUMEXPEN!K204</f>
        <v>0.51</v>
      </c>
      <c r="J291" s="937"/>
    </row>
    <row r="292" spans="1:10" ht="5.0999999999999996" customHeight="1"/>
    <row r="293" spans="1:10" ht="27" customHeight="1">
      <c r="A293" s="651" t="str">
        <f>SUMEXPEN!B206</f>
        <v>*The Summary of General and Supplemental General Fund Expenditures by Function comes from pages 6-13 and is the sum of the "General Fund" and 
"Supplemental General Fund" line items.</v>
      </c>
      <c r="B293" s="651"/>
      <c r="C293" s="651"/>
      <c r="D293" s="651"/>
      <c r="E293" s="651"/>
      <c r="F293" s="651"/>
      <c r="G293" s="651"/>
      <c r="H293" s="651"/>
      <c r="I293" s="651"/>
      <c r="J293" s="651"/>
    </row>
    <row r="332" spans="1:10" ht="18">
      <c r="A332" s="934" t="s">
        <v>147</v>
      </c>
      <c r="B332" s="934"/>
      <c r="C332" s="934"/>
      <c r="D332" s="934"/>
      <c r="E332" s="934"/>
      <c r="F332" s="934"/>
      <c r="G332" s="934"/>
      <c r="H332" s="934"/>
      <c r="I332" s="934"/>
      <c r="J332" s="934"/>
    </row>
    <row r="334" spans="1:10">
      <c r="A334" s="2"/>
      <c r="B334" s="318" t="str">
        <f>SUMEXPEN!D319</f>
        <v>2023-2024</v>
      </c>
      <c r="C334" s="43"/>
      <c r="D334" s="792" t="str">
        <f>SUMEXPEN!F319</f>
        <v>2024-2025</v>
      </c>
      <c r="E334" s="793">
        <f>SUMEXPEN!G319</f>
        <v>0</v>
      </c>
      <c r="F334" s="319" t="str">
        <f>SUMEXPEN!H319</f>
        <v>%</v>
      </c>
      <c r="G334" s="80"/>
      <c r="H334" s="792" t="str">
        <f>SUMEXPEN!J319</f>
        <v>2025-2026</v>
      </c>
      <c r="I334" s="793">
        <f>SUMEXPEN!K319</f>
        <v>0</v>
      </c>
      <c r="J334" s="320" t="str">
        <f>SUMEXPEN!L319</f>
        <v>%</v>
      </c>
    </row>
    <row r="335" spans="1:10">
      <c r="A335" s="2"/>
      <c r="B335" s="321" t="str">
        <f>SUMEXPEN!D320</f>
        <v>Actual</v>
      </c>
      <c r="C335" s="43"/>
      <c r="D335" s="856" t="str">
        <f>SUMEXPEN!F320</f>
        <v>Actual</v>
      </c>
      <c r="E335" s="857">
        <f>SUMEXPEN!G320</f>
        <v>0</v>
      </c>
      <c r="F335" s="322" t="str">
        <f>SUMEXPEN!H320</f>
        <v>Change</v>
      </c>
      <c r="G335" s="80"/>
      <c r="H335" s="856" t="str">
        <f>SUMEXPEN!J320</f>
        <v>Budget</v>
      </c>
      <c r="I335" s="857">
        <f>SUMEXPEN!K320</f>
        <v>0</v>
      </c>
      <c r="J335" s="323" t="str">
        <f>SUMEXPEN!L320</f>
        <v>Change</v>
      </c>
    </row>
    <row r="336" spans="1:10">
      <c r="A336" s="324" t="str">
        <f>SUMEXPEN!B321</f>
        <v>General</v>
      </c>
      <c r="B336" s="326">
        <f>SUMEXPEN!D321</f>
        <v>450094</v>
      </c>
      <c r="C336" s="327"/>
      <c r="D336" s="747">
        <f>SUMEXPEN!F321</f>
        <v>509814</v>
      </c>
      <c r="E336" s="732">
        <f>SUMEXPEN!G321</f>
        <v>0</v>
      </c>
      <c r="F336" s="328">
        <f>SUMEXPEN!H321</f>
        <v>0.13</v>
      </c>
      <c r="G336" s="80"/>
      <c r="H336" s="747">
        <f>SUMEXPEN!J321</f>
        <v>574723</v>
      </c>
      <c r="I336" s="732">
        <f>SUMEXPEN!K321</f>
        <v>0</v>
      </c>
      <c r="J336" s="328">
        <f>SUMEXPEN!L321</f>
        <v>0.13</v>
      </c>
    </row>
    <row r="337" spans="1:10">
      <c r="A337" s="44" t="str">
        <f>SUMEXPEN!B322</f>
        <v>Federal Funds</v>
      </c>
      <c r="B337" s="329">
        <f>SUMEXPEN!D322</f>
        <v>106138</v>
      </c>
      <c r="C337" s="327"/>
      <c r="D337" s="671">
        <f>SUMEXPEN!F322</f>
        <v>61047</v>
      </c>
      <c r="E337" s="653">
        <f>SUMEXPEN!G322</f>
        <v>0</v>
      </c>
      <c r="F337" s="330">
        <f>SUMEXPEN!H322</f>
        <v>-0.42</v>
      </c>
      <c r="G337" s="80"/>
      <c r="H337" s="671">
        <f>SUMEXPEN!J322</f>
        <v>62800</v>
      </c>
      <c r="I337" s="653">
        <f>SUMEXPEN!K322</f>
        <v>0</v>
      </c>
      <c r="J337" s="330">
        <f>SUMEXPEN!L322</f>
        <v>0.03</v>
      </c>
    </row>
    <row r="338" spans="1:10">
      <c r="A338" s="324" t="str">
        <f>SUMEXPEN!B323</f>
        <v>Supplemental General</v>
      </c>
      <c r="B338" s="331">
        <f>SUMEXPEN!D323</f>
        <v>66546</v>
      </c>
      <c r="C338" s="327"/>
      <c r="D338" s="656">
        <f>SUMEXPEN!F323</f>
        <v>0</v>
      </c>
      <c r="E338" s="655">
        <f>SUMEXPEN!G323</f>
        <v>0</v>
      </c>
      <c r="F338" s="332">
        <f>SUMEXPEN!H323</f>
        <v>-1</v>
      </c>
      <c r="G338" s="80"/>
      <c r="H338" s="656">
        <f>SUMEXPEN!J323</f>
        <v>13883</v>
      </c>
      <c r="I338" s="655">
        <f>SUMEXPEN!K323</f>
        <v>0</v>
      </c>
      <c r="J338" s="332">
        <f>SUMEXPEN!L323</f>
        <v>0</v>
      </c>
    </row>
    <row r="339" spans="1:10">
      <c r="A339" s="1" t="str">
        <f>SUMEXPEN!B324</f>
        <v>Preschool-Aged At-Risk</v>
      </c>
      <c r="B339" s="334">
        <f>SUMEXPEN!D324</f>
        <v>10403</v>
      </c>
      <c r="C339" s="327"/>
      <c r="D339" s="671">
        <f>SUMEXPEN!F324</f>
        <v>16114</v>
      </c>
      <c r="E339" s="653">
        <f>SUMEXPEN!G324</f>
        <v>0</v>
      </c>
      <c r="F339" s="330">
        <f>SUMEXPEN!H324</f>
        <v>0.55000000000000004</v>
      </c>
      <c r="G339" s="80"/>
      <c r="H339" s="672">
        <f>SUMEXPEN!J324</f>
        <v>5000</v>
      </c>
      <c r="I339" s="673">
        <f>SUMEXPEN!K324</f>
        <v>0</v>
      </c>
      <c r="J339" s="330">
        <f>SUMEXPEN!L324</f>
        <v>-0.69</v>
      </c>
    </row>
    <row r="340" spans="1:10">
      <c r="A340" s="324" t="str">
        <f>SUMEXPEN!B325</f>
        <v>At-Risk Education Fund</v>
      </c>
      <c r="B340" s="331">
        <f>SUMEXPEN!D325</f>
        <v>64877</v>
      </c>
      <c r="C340" s="327"/>
      <c r="D340" s="656">
        <f>SUMEXPEN!F325</f>
        <v>256782</v>
      </c>
      <c r="E340" s="655">
        <f>SUMEXPEN!G325</f>
        <v>0</v>
      </c>
      <c r="F340" s="332">
        <f>SUMEXPEN!H325</f>
        <v>2.96</v>
      </c>
      <c r="G340" s="80"/>
      <c r="H340" s="674">
        <f>SUMEXPEN!J325</f>
        <v>275674</v>
      </c>
      <c r="I340" s="675">
        <f>SUMEXPEN!K325</f>
        <v>0</v>
      </c>
      <c r="J340" s="332">
        <f>SUMEXPEN!L325</f>
        <v>7.0000000000000007E-2</v>
      </c>
    </row>
    <row r="341" spans="1:10">
      <c r="A341" s="1" t="str">
        <f>SUMEXPEN!B326</f>
        <v>Bilingual Education</v>
      </c>
      <c r="B341" s="334">
        <f>SUMEXPEN!D326</f>
        <v>8706</v>
      </c>
      <c r="C341" s="327"/>
      <c r="D341" s="671">
        <f>SUMEXPEN!F326</f>
        <v>2355</v>
      </c>
      <c r="E341" s="653">
        <f>SUMEXPEN!G326</f>
        <v>0</v>
      </c>
      <c r="F341" s="330">
        <f>SUMEXPEN!H326</f>
        <v>-0.73</v>
      </c>
      <c r="G341" s="80"/>
      <c r="H341" s="671">
        <f>SUMEXPEN!J326</f>
        <v>10350</v>
      </c>
      <c r="I341" s="653">
        <f>SUMEXPEN!K326</f>
        <v>0</v>
      </c>
      <c r="J341" s="330">
        <f>SUMEXPEN!L326</f>
        <v>3.39</v>
      </c>
    </row>
    <row r="342" spans="1:10">
      <c r="A342" s="324" t="str">
        <f>SUMEXPEN!B327</f>
        <v>Virtual Education</v>
      </c>
      <c r="B342" s="331">
        <f>SUMEXPEN!D327</f>
        <v>0</v>
      </c>
      <c r="C342" s="327"/>
      <c r="D342" s="656">
        <f>SUMEXPEN!F327</f>
        <v>0</v>
      </c>
      <c r="E342" s="655">
        <f>SUMEXPEN!G327</f>
        <v>0</v>
      </c>
      <c r="F342" s="332">
        <f>SUMEXPEN!H327</f>
        <v>0</v>
      </c>
      <c r="G342" s="80"/>
      <c r="H342" s="656">
        <f>SUMEXPEN!J327</f>
        <v>0</v>
      </c>
      <c r="I342" s="655">
        <f>SUMEXPEN!K327</f>
        <v>0</v>
      </c>
      <c r="J342" s="332">
        <f>SUMEXPEN!L327</f>
        <v>0</v>
      </c>
    </row>
    <row r="343" spans="1:10">
      <c r="A343" s="1" t="str">
        <f>SUMEXPEN!B328</f>
        <v>Capital Outlay</v>
      </c>
      <c r="B343" s="334">
        <f>SUMEXPEN!D328</f>
        <v>13039</v>
      </c>
      <c r="C343" s="327"/>
      <c r="D343" s="671">
        <f>SUMEXPEN!F328</f>
        <v>0</v>
      </c>
      <c r="E343" s="653">
        <f>SUMEXPEN!G328</f>
        <v>0</v>
      </c>
      <c r="F343" s="330">
        <f>SUMEXPEN!H328</f>
        <v>-1</v>
      </c>
      <c r="G343" s="80"/>
      <c r="H343" s="671">
        <f>SUMEXPEN!J328</f>
        <v>10000</v>
      </c>
      <c r="I343" s="653">
        <f>SUMEXPEN!K328</f>
        <v>0</v>
      </c>
      <c r="J343" s="330">
        <f>SUMEXPEN!L328</f>
        <v>0</v>
      </c>
    </row>
    <row r="344" spans="1:10">
      <c r="A344" s="324" t="str">
        <f>SUMEXPEN!B329</f>
        <v>Driver Education</v>
      </c>
      <c r="B344" s="331">
        <f>SUMEXPEN!D329</f>
        <v>0</v>
      </c>
      <c r="C344" s="327"/>
      <c r="D344" s="656">
        <f>SUMEXPEN!F329</f>
        <v>0</v>
      </c>
      <c r="E344" s="655">
        <f>SUMEXPEN!G329</f>
        <v>0</v>
      </c>
      <c r="F344" s="332">
        <f>SUMEXPEN!H329</f>
        <v>0</v>
      </c>
      <c r="G344" s="80"/>
      <c r="H344" s="656">
        <f>SUMEXPEN!J329</f>
        <v>0</v>
      </c>
      <c r="I344" s="655">
        <f>SUMEXPEN!K329</f>
        <v>0</v>
      </c>
      <c r="J344" s="332">
        <f>SUMEXPEN!L329</f>
        <v>0</v>
      </c>
    </row>
    <row r="345" spans="1:10">
      <c r="A345" s="1" t="str">
        <f>SUMEXPEN!B330</f>
        <v>Declining Enrollment</v>
      </c>
      <c r="B345" s="336">
        <f>SUMEXPEN!D330</f>
        <v>0</v>
      </c>
      <c r="C345" s="327"/>
      <c r="D345" s="652">
        <f>SUMEXPEN!F330</f>
        <v>0</v>
      </c>
      <c r="E345" s="653">
        <f>SUMEXPEN!G330</f>
        <v>0</v>
      </c>
      <c r="F345" s="330">
        <f>SUMEXPEN!H330</f>
        <v>0</v>
      </c>
      <c r="G345" s="80"/>
      <c r="H345" s="652">
        <f>SUMEXPEN!J330</f>
        <v>0</v>
      </c>
      <c r="I345" s="653">
        <f>SUMEXPEN!K330</f>
        <v>0</v>
      </c>
      <c r="J345" s="330">
        <f>SUMEXPEN!L330</f>
        <v>0</v>
      </c>
    </row>
    <row r="346" spans="1:10">
      <c r="A346" s="324" t="str">
        <f>SUMEXPEN!B331</f>
        <v>Extraordinary School Program</v>
      </c>
      <c r="B346" s="331">
        <f>SUMEXPEN!D331</f>
        <v>0</v>
      </c>
      <c r="C346" s="327"/>
      <c r="D346" s="656">
        <f>SUMEXPEN!F331</f>
        <v>0</v>
      </c>
      <c r="E346" s="655">
        <f>SUMEXPEN!G331</f>
        <v>0</v>
      </c>
      <c r="F346" s="332">
        <f>SUMEXPEN!H331</f>
        <v>0</v>
      </c>
      <c r="G346" s="80"/>
      <c r="H346" s="656">
        <f>SUMEXPEN!J331</f>
        <v>0</v>
      </c>
      <c r="I346" s="655">
        <f>SUMEXPEN!K331</f>
        <v>0</v>
      </c>
      <c r="J346" s="332">
        <f>SUMEXPEN!L331</f>
        <v>0</v>
      </c>
    </row>
    <row r="347" spans="1:10">
      <c r="A347" s="1" t="str">
        <f>SUMEXPEN!B332</f>
        <v>Food Service</v>
      </c>
      <c r="B347" s="336">
        <f>SUMEXPEN!D332</f>
        <v>0</v>
      </c>
      <c r="C347" s="327"/>
      <c r="D347" s="652">
        <f>SUMEXPEN!F332</f>
        <v>0</v>
      </c>
      <c r="E347" s="653">
        <f>SUMEXPEN!G332</f>
        <v>0</v>
      </c>
      <c r="F347" s="330">
        <f>SUMEXPEN!H332</f>
        <v>0</v>
      </c>
      <c r="G347" s="80"/>
      <c r="H347" s="652">
        <f>SUMEXPEN!J332</f>
        <v>0</v>
      </c>
      <c r="I347" s="653">
        <f>SUMEXPEN!K332</f>
        <v>0</v>
      </c>
      <c r="J347" s="330">
        <f>SUMEXPEN!L332</f>
        <v>0</v>
      </c>
    </row>
    <row r="348" spans="1:10">
      <c r="A348" s="324" t="str">
        <f>SUMEXPEN!B333</f>
        <v>Professional Development</v>
      </c>
      <c r="B348" s="339">
        <f>SUMEXPEN!D333</f>
        <v>0</v>
      </c>
      <c r="C348" s="327"/>
      <c r="D348" s="654">
        <f>SUMEXPEN!F333</f>
        <v>0</v>
      </c>
      <c r="E348" s="655">
        <f>SUMEXPEN!G333</f>
        <v>0</v>
      </c>
      <c r="F348" s="332">
        <f>SUMEXPEN!H333</f>
        <v>0</v>
      </c>
      <c r="G348" s="80"/>
      <c r="H348" s="654">
        <f>SUMEXPEN!J333</f>
        <v>0</v>
      </c>
      <c r="I348" s="655">
        <f>SUMEXPEN!K333</f>
        <v>0</v>
      </c>
      <c r="J348" s="332">
        <f>SUMEXPEN!L333</f>
        <v>0</v>
      </c>
    </row>
    <row r="349" spans="1:10">
      <c r="A349" s="1" t="str">
        <f>SUMEXPEN!B334</f>
        <v>Parent Education Program</v>
      </c>
      <c r="B349" s="336">
        <f>SUMEXPEN!D334</f>
        <v>0</v>
      </c>
      <c r="C349" s="327"/>
      <c r="D349" s="652">
        <f>SUMEXPEN!F334</f>
        <v>0</v>
      </c>
      <c r="E349" s="653">
        <f>SUMEXPEN!G334</f>
        <v>0</v>
      </c>
      <c r="F349" s="330">
        <f>SUMEXPEN!H334</f>
        <v>0</v>
      </c>
      <c r="G349" s="80"/>
      <c r="H349" s="652">
        <f>SUMEXPEN!J334</f>
        <v>0</v>
      </c>
      <c r="I349" s="653">
        <f>SUMEXPEN!K334</f>
        <v>0</v>
      </c>
      <c r="J349" s="330">
        <f>SUMEXPEN!L334</f>
        <v>0</v>
      </c>
    </row>
    <row r="350" spans="1:10">
      <c r="A350" s="324" t="str">
        <f>SUMEXPEN!B335</f>
        <v>Summer School</v>
      </c>
      <c r="B350" s="331">
        <f>SUMEXPEN!D335</f>
        <v>0</v>
      </c>
      <c r="C350" s="327"/>
      <c r="D350" s="656">
        <f>SUMEXPEN!F335</f>
        <v>0</v>
      </c>
      <c r="E350" s="655">
        <f>SUMEXPEN!G335</f>
        <v>0</v>
      </c>
      <c r="F350" s="332">
        <f>SUMEXPEN!H335</f>
        <v>0</v>
      </c>
      <c r="G350" s="80"/>
      <c r="H350" s="656">
        <f>SUMEXPEN!J335</f>
        <v>0</v>
      </c>
      <c r="I350" s="655">
        <f>SUMEXPEN!K335</f>
        <v>0</v>
      </c>
      <c r="J350" s="332">
        <f>SUMEXPEN!L335</f>
        <v>0</v>
      </c>
    </row>
    <row r="351" spans="1:10">
      <c r="A351" s="1" t="str">
        <f>SUMEXPEN!B336</f>
        <v>Special Education</v>
      </c>
      <c r="B351" s="334">
        <f>SUMEXPEN!D336</f>
        <v>157021</v>
      </c>
      <c r="C351" s="327"/>
      <c r="D351" s="671">
        <f>SUMEXPEN!F336</f>
        <v>96625</v>
      </c>
      <c r="E351" s="653">
        <f>SUMEXPEN!G336</f>
        <v>0</v>
      </c>
      <c r="F351" s="330">
        <f>SUMEXPEN!H336</f>
        <v>-0.38</v>
      </c>
      <c r="G351" s="80"/>
      <c r="H351" s="671">
        <f>SUMEXPEN!J336</f>
        <v>275168</v>
      </c>
      <c r="I351" s="653">
        <f>SUMEXPEN!K336</f>
        <v>0</v>
      </c>
      <c r="J351" s="330">
        <f>SUMEXPEN!L336</f>
        <v>1.85</v>
      </c>
    </row>
    <row r="352" spans="1:10">
      <c r="A352" s="324" t="str">
        <f>SUMEXPEN!B337</f>
        <v>Cost of Living</v>
      </c>
      <c r="B352" s="339">
        <f>SUMEXPEN!D337</f>
        <v>0</v>
      </c>
      <c r="C352" s="327"/>
      <c r="D352" s="654">
        <f>SUMEXPEN!F337</f>
        <v>0</v>
      </c>
      <c r="E352" s="655">
        <f>SUMEXPEN!G337</f>
        <v>0</v>
      </c>
      <c r="F352" s="332">
        <f>SUMEXPEN!H337</f>
        <v>0</v>
      </c>
      <c r="G352" s="80"/>
      <c r="H352" s="654">
        <f>SUMEXPEN!J337</f>
        <v>0</v>
      </c>
      <c r="I352" s="655">
        <f>SUMEXPEN!K337</f>
        <v>0</v>
      </c>
      <c r="J352" s="332">
        <f>SUMEXPEN!L337</f>
        <v>0</v>
      </c>
    </row>
    <row r="353" spans="1:10">
      <c r="A353" s="1" t="str">
        <f>SUMEXPEN!B338</f>
        <v>Career and Postsecondary Ed.</v>
      </c>
      <c r="B353" s="334">
        <f>SUMEXPEN!D338</f>
        <v>0</v>
      </c>
      <c r="C353" s="327"/>
      <c r="D353" s="671">
        <f>SUMEXPEN!F338</f>
        <v>0</v>
      </c>
      <c r="E353" s="653">
        <f>SUMEXPEN!G338</f>
        <v>0</v>
      </c>
      <c r="F353" s="330">
        <f>SUMEXPEN!H338</f>
        <v>0</v>
      </c>
      <c r="G353" s="80"/>
      <c r="H353" s="671">
        <f>SUMEXPEN!J338</f>
        <v>0</v>
      </c>
      <c r="I353" s="653">
        <f>SUMEXPEN!K338</f>
        <v>0</v>
      </c>
      <c r="J353" s="330">
        <f>SUMEXPEN!L338</f>
        <v>0</v>
      </c>
    </row>
    <row r="354" spans="1:10">
      <c r="A354" s="324" t="str">
        <f>SUMEXPEN!B339</f>
        <v>Gifts &amp; Grants¹</v>
      </c>
      <c r="B354" s="331">
        <f>SUMEXPEN!D339</f>
        <v>4817</v>
      </c>
      <c r="C354" s="327"/>
      <c r="D354" s="656">
        <f>SUMEXPEN!F339</f>
        <v>12385</v>
      </c>
      <c r="E354" s="655">
        <f>SUMEXPEN!G339</f>
        <v>0</v>
      </c>
      <c r="F354" s="332">
        <f>SUMEXPEN!H339</f>
        <v>1.57</v>
      </c>
      <c r="G354" s="80"/>
      <c r="H354" s="656">
        <f>SUMEXPEN!J339</f>
        <v>125522</v>
      </c>
      <c r="I354" s="655">
        <f>SUMEXPEN!K339</f>
        <v>0</v>
      </c>
      <c r="J354" s="332">
        <f>SUMEXPEN!L339</f>
        <v>9.14</v>
      </c>
    </row>
    <row r="355" spans="1:10">
      <c r="A355" s="1" t="str">
        <f>SUMEXPEN!B340</f>
        <v xml:space="preserve">Special Liability </v>
      </c>
      <c r="B355" s="336">
        <f>SUMEXPEN!D340</f>
        <v>0</v>
      </c>
      <c r="C355" s="327"/>
      <c r="D355" s="652">
        <f>SUMEXPEN!F340</f>
        <v>0</v>
      </c>
      <c r="E355" s="653">
        <f>SUMEXPEN!G340</f>
        <v>0</v>
      </c>
      <c r="F355" s="330">
        <f>SUMEXPEN!H340</f>
        <v>0</v>
      </c>
      <c r="G355" s="80"/>
      <c r="H355" s="652">
        <f>SUMEXPEN!J340</f>
        <v>0</v>
      </c>
      <c r="I355" s="653">
        <f>SUMEXPEN!K340</f>
        <v>0</v>
      </c>
      <c r="J355" s="330">
        <f>SUMEXPEN!L340</f>
        <v>0</v>
      </c>
    </row>
    <row r="356" spans="1:10">
      <c r="A356" s="324" t="str">
        <f>SUMEXPEN!B341</f>
        <v>School Retirement</v>
      </c>
      <c r="B356" s="331">
        <f>SUMEXPEN!D341</f>
        <v>0</v>
      </c>
      <c r="C356" s="327"/>
      <c r="D356" s="656">
        <f>SUMEXPEN!F341</f>
        <v>0</v>
      </c>
      <c r="E356" s="655">
        <f>SUMEXPEN!G341</f>
        <v>0</v>
      </c>
      <c r="F356" s="332">
        <f>SUMEXPEN!H341</f>
        <v>0</v>
      </c>
      <c r="G356" s="80"/>
      <c r="H356" s="656">
        <f>SUMEXPEN!J341</f>
        <v>0</v>
      </c>
      <c r="I356" s="655">
        <f>SUMEXPEN!K341</f>
        <v>0</v>
      </c>
      <c r="J356" s="332">
        <f>SUMEXPEN!L341</f>
        <v>0</v>
      </c>
    </row>
    <row r="357" spans="1:10">
      <c r="A357" s="45" t="str">
        <f>SUMEXPEN!B342</f>
        <v>Extraordinary Growth Facilities</v>
      </c>
      <c r="B357" s="341">
        <f>SUMEXPEN!D342</f>
        <v>0</v>
      </c>
      <c r="C357" s="327"/>
      <c r="D357" s="652">
        <f>SUMEXPEN!F342</f>
        <v>0</v>
      </c>
      <c r="E357" s="653">
        <f>SUMEXPEN!G342</f>
        <v>0</v>
      </c>
      <c r="F357" s="330">
        <f>SUMEXPEN!H342</f>
        <v>0</v>
      </c>
      <c r="G357" s="80"/>
      <c r="H357" s="652">
        <f>SUMEXPEN!J342</f>
        <v>0</v>
      </c>
      <c r="I357" s="653">
        <f>SUMEXPEN!K342</f>
        <v>0</v>
      </c>
      <c r="J357" s="330">
        <f>SUMEXPEN!L342</f>
        <v>0</v>
      </c>
    </row>
    <row r="358" spans="1:10">
      <c r="A358" s="342" t="str">
        <f>SUMEXPEN!B343</f>
        <v xml:space="preserve">Special Reserve </v>
      </c>
      <c r="B358" s="344">
        <f>SUMEXPEN!D343</f>
        <v>0</v>
      </c>
      <c r="C358" s="327"/>
      <c r="D358" s="654">
        <f>SUMEXPEN!F343</f>
        <v>0</v>
      </c>
      <c r="E358" s="655">
        <f>SUMEXPEN!G343</f>
        <v>0</v>
      </c>
      <c r="F358" s="332">
        <f>SUMEXPEN!H343</f>
        <v>0</v>
      </c>
      <c r="G358" s="80"/>
      <c r="H358" s="676">
        <f>SUMEXPEN!J343</f>
        <v>0</v>
      </c>
      <c r="I358" s="677">
        <f>SUMEXPEN!K343</f>
        <v>0</v>
      </c>
      <c r="J358" s="345">
        <f>SUMEXPEN!L343</f>
        <v>0</v>
      </c>
    </row>
    <row r="359" spans="1:10">
      <c r="A359" s="45" t="str">
        <f>SUMEXPEN!B344</f>
        <v>KPERS Spec. Ret. Contribution</v>
      </c>
      <c r="B359" s="329">
        <f>SUMEXPEN!D344</f>
        <v>52040</v>
      </c>
      <c r="C359" s="327"/>
      <c r="D359" s="671">
        <f>SUMEXPEN!F344</f>
        <v>43702</v>
      </c>
      <c r="E359" s="653">
        <f>SUMEXPEN!G344</f>
        <v>0</v>
      </c>
      <c r="F359" s="330">
        <f>SUMEXPEN!H344</f>
        <v>-0.16</v>
      </c>
      <c r="G359" s="80"/>
      <c r="H359" s="671">
        <f>SUMEXPEN!J344</f>
        <v>59684</v>
      </c>
      <c r="I359" s="653">
        <f>SUMEXPEN!K344</f>
        <v>0</v>
      </c>
      <c r="J359" s="330">
        <f>SUMEXPEN!L344</f>
        <v>0.37</v>
      </c>
    </row>
    <row r="360" spans="1:10">
      <c r="A360" s="342" t="str">
        <f>SUMEXPEN!B345</f>
        <v>Contingency Reserve</v>
      </c>
      <c r="B360" s="346">
        <f>SUMEXPEN!D345</f>
        <v>0</v>
      </c>
      <c r="C360" s="327"/>
      <c r="D360" s="656">
        <f>SUMEXPEN!F345</f>
        <v>933368</v>
      </c>
      <c r="E360" s="655">
        <f>SUMEXPEN!G345</f>
        <v>0</v>
      </c>
      <c r="F360" s="332">
        <f>SUMEXPEN!H345</f>
        <v>0</v>
      </c>
      <c r="G360" s="80"/>
      <c r="H360" s="678">
        <f>SUMEXPEN!J345</f>
        <v>0</v>
      </c>
      <c r="I360" s="679">
        <f>SUMEXPEN!K345</f>
        <v>0</v>
      </c>
      <c r="J360" s="347">
        <f>SUMEXPEN!L345</f>
        <v>0</v>
      </c>
    </row>
    <row r="361" spans="1:10">
      <c r="A361" s="45" t="str">
        <f>SUMEXPEN!B346</f>
        <v>Text Book &amp; Student Material</v>
      </c>
      <c r="B361" s="329">
        <f>SUMEXPEN!D346</f>
        <v>367</v>
      </c>
      <c r="C361" s="327"/>
      <c r="D361" s="671">
        <f>SUMEXPEN!F346</f>
        <v>4674</v>
      </c>
      <c r="E361" s="653">
        <f>SUMEXPEN!G346</f>
        <v>0</v>
      </c>
      <c r="F361" s="330">
        <f>SUMEXPEN!H346</f>
        <v>11.74</v>
      </c>
      <c r="G361" s="80"/>
      <c r="H361" s="680">
        <f>SUMEXPEN!J346</f>
        <v>0</v>
      </c>
      <c r="I361" s="681">
        <f>SUMEXPEN!K346</f>
        <v>0</v>
      </c>
      <c r="J361" s="348">
        <f>SUMEXPEN!L346</f>
        <v>0</v>
      </c>
    </row>
    <row r="362" spans="1:10">
      <c r="A362" s="342" t="str">
        <f>SUMEXPEN!B347</f>
        <v>Activity Fund</v>
      </c>
      <c r="B362" s="346">
        <f>SUMEXPEN!D347</f>
        <v>4637</v>
      </c>
      <c r="C362" s="327"/>
      <c r="D362" s="656">
        <f>SUMEXPEN!F347</f>
        <v>31831</v>
      </c>
      <c r="E362" s="655">
        <f>SUMEXPEN!G347</f>
        <v>0</v>
      </c>
      <c r="F362" s="332">
        <f>SUMEXPEN!H347</f>
        <v>5.86</v>
      </c>
      <c r="G362" s="80"/>
      <c r="H362" s="682">
        <f>SUMEXPEN!J347</f>
        <v>0</v>
      </c>
      <c r="I362" s="683">
        <f>SUMEXPEN!K347</f>
        <v>0</v>
      </c>
      <c r="J362" s="349">
        <f>SUMEXPEN!L347</f>
        <v>0</v>
      </c>
    </row>
    <row r="363" spans="1:10">
      <c r="A363" s="350" t="str">
        <f>SUMEXPEN!B348</f>
        <v>Bond and Interest #1</v>
      </c>
      <c r="B363" s="341">
        <f>SUMEXPEN!D348</f>
        <v>0</v>
      </c>
      <c r="C363" s="327"/>
      <c r="D363" s="652">
        <f>SUMEXPEN!F348</f>
        <v>0</v>
      </c>
      <c r="E363" s="653">
        <f>SUMEXPEN!G348</f>
        <v>0</v>
      </c>
      <c r="F363" s="330">
        <f>SUMEXPEN!H348</f>
        <v>0</v>
      </c>
      <c r="G363" s="80"/>
      <c r="H363" s="652">
        <f>SUMEXPEN!J348</f>
        <v>0</v>
      </c>
      <c r="I363" s="653">
        <f>SUMEXPEN!K348</f>
        <v>0</v>
      </c>
      <c r="J363" s="330">
        <f>SUMEXPEN!L348</f>
        <v>0</v>
      </c>
    </row>
    <row r="364" spans="1:10">
      <c r="A364" s="351" t="str">
        <f>SUMEXPEN!B349</f>
        <v>Bond and Interest #2</v>
      </c>
      <c r="B364" s="344">
        <f>SUMEXPEN!D349</f>
        <v>0</v>
      </c>
      <c r="C364" s="327"/>
      <c r="D364" s="654">
        <f>SUMEXPEN!F349</f>
        <v>0</v>
      </c>
      <c r="E364" s="655">
        <f>SUMEXPEN!G349</f>
        <v>0</v>
      </c>
      <c r="F364" s="332">
        <f>SUMEXPEN!H349</f>
        <v>0</v>
      </c>
      <c r="G364" s="80"/>
      <c r="H364" s="654">
        <f>SUMEXPEN!J349</f>
        <v>0</v>
      </c>
      <c r="I364" s="655">
        <f>SUMEXPEN!K349</f>
        <v>0</v>
      </c>
      <c r="J364" s="332">
        <f>SUMEXPEN!L349</f>
        <v>0</v>
      </c>
    </row>
    <row r="365" spans="1:10">
      <c r="A365" s="45" t="str">
        <f>SUMEXPEN!B350</f>
        <v>No-Fund Warrant</v>
      </c>
      <c r="B365" s="341">
        <f>SUMEXPEN!D350</f>
        <v>0</v>
      </c>
      <c r="C365" s="327"/>
      <c r="D365" s="652">
        <f>SUMEXPEN!F350</f>
        <v>0</v>
      </c>
      <c r="E365" s="653">
        <f>SUMEXPEN!G350</f>
        <v>0</v>
      </c>
      <c r="F365" s="330">
        <f>SUMEXPEN!H350</f>
        <v>0</v>
      </c>
      <c r="G365" s="80"/>
      <c r="H365" s="652">
        <f>SUMEXPEN!J350</f>
        <v>0</v>
      </c>
      <c r="I365" s="653">
        <f>SUMEXPEN!K350</f>
        <v>0</v>
      </c>
      <c r="J365" s="330">
        <f>SUMEXPEN!L350</f>
        <v>0</v>
      </c>
    </row>
    <row r="366" spans="1:10">
      <c r="A366" s="342" t="str">
        <f>SUMEXPEN!B351</f>
        <v>Special Assessment</v>
      </c>
      <c r="B366" s="344">
        <f>SUMEXPEN!D351</f>
        <v>0</v>
      </c>
      <c r="C366" s="327"/>
      <c r="D366" s="654">
        <f>SUMEXPEN!F351</f>
        <v>0</v>
      </c>
      <c r="E366" s="655">
        <f>SUMEXPEN!G351</f>
        <v>0</v>
      </c>
      <c r="F366" s="332">
        <f>SUMEXPEN!H351</f>
        <v>0</v>
      </c>
      <c r="G366" s="80"/>
      <c r="H366" s="654">
        <f>SUMEXPEN!J351</f>
        <v>0</v>
      </c>
      <c r="I366" s="655">
        <f>SUMEXPEN!K351</f>
        <v>0</v>
      </c>
      <c r="J366" s="332">
        <f>SUMEXPEN!L351</f>
        <v>0</v>
      </c>
    </row>
    <row r="367" spans="1:10" ht="15.75" thickBot="1">
      <c r="A367" s="45" t="str">
        <f>SUMEXPEN!B352</f>
        <v>Temporary Note</v>
      </c>
      <c r="B367" s="341">
        <f>SUMEXPEN!D352</f>
        <v>0</v>
      </c>
      <c r="C367" s="327"/>
      <c r="D367" s="669">
        <f>SUMEXPEN!F352</f>
        <v>0</v>
      </c>
      <c r="E367" s="670">
        <f>SUMEXPEN!G352</f>
        <v>0</v>
      </c>
      <c r="F367" s="247">
        <f>SUMEXPEN!H352</f>
        <v>0</v>
      </c>
      <c r="G367" s="80"/>
      <c r="H367" s="669">
        <f>SUMEXPEN!J352</f>
        <v>0</v>
      </c>
      <c r="I367" s="670">
        <f>SUMEXPEN!K352</f>
        <v>0</v>
      </c>
      <c r="J367" s="247">
        <f>SUMEXPEN!L352</f>
        <v>0</v>
      </c>
    </row>
    <row r="368" spans="1:10" ht="15.75" thickTop="1">
      <c r="A368" s="352" t="str">
        <f>SUMEXPEN!B353</f>
        <v>SUBTOTAL</v>
      </c>
      <c r="B368" s="354">
        <f>SUMEXPEN!D353</f>
        <v>938685</v>
      </c>
      <c r="C368" s="327"/>
      <c r="D368" s="774">
        <f>SUMEXPEN!F353</f>
        <v>1968697</v>
      </c>
      <c r="E368" s="775">
        <f>SUMEXPEN!G353</f>
        <v>0</v>
      </c>
      <c r="F368" s="355">
        <f>SUMEXPEN!H353</f>
        <v>1.1000000000000001</v>
      </c>
      <c r="G368" s="80"/>
      <c r="H368" s="774">
        <f>SUMEXPEN!J353</f>
        <v>1412804</v>
      </c>
      <c r="I368" s="775">
        <f>SUMEXPEN!K353</f>
        <v>0</v>
      </c>
      <c r="J368" s="355">
        <f>SUMEXPEN!L353</f>
        <v>-0.28000000000000003</v>
      </c>
    </row>
    <row r="369" spans="1:10">
      <c r="A369" s="45" t="str">
        <f>SUMEXPEN!B354</f>
        <v>Enrollment (FTE)³</v>
      </c>
      <c r="B369" s="356">
        <f>SUMEXPEN!D354</f>
        <v>70.7</v>
      </c>
      <c r="C369" s="327"/>
      <c r="D369" s="665">
        <f>SUMEXPEN!F354</f>
        <v>82.5</v>
      </c>
      <c r="E369" s="666">
        <f>SUMEXPEN!G354</f>
        <v>0</v>
      </c>
      <c r="F369" s="247">
        <f>SUMEXPEN!H354</f>
        <v>0.17</v>
      </c>
      <c r="G369" s="80"/>
      <c r="H369" s="665">
        <f>SUMEXPEN!J354</f>
        <v>70</v>
      </c>
      <c r="I369" s="666">
        <f>SUMEXPEN!K354</f>
        <v>0</v>
      </c>
      <c r="J369" s="247">
        <f>SUMEXPEN!L354</f>
        <v>-0.15</v>
      </c>
    </row>
    <row r="370" spans="1:10" ht="15.75" thickBot="1">
      <c r="A370" s="342" t="str">
        <f>SUMEXPEN!B355</f>
        <v>Amount per Pupil²</v>
      </c>
      <c r="B370" s="346">
        <f>SUMEXPEN!D355</f>
        <v>13277</v>
      </c>
      <c r="C370" s="327"/>
      <c r="D370" s="663">
        <f>SUMEXPEN!F355</f>
        <v>23863</v>
      </c>
      <c r="E370" s="664">
        <f>SUMEXPEN!G355</f>
        <v>0</v>
      </c>
      <c r="F370" s="357">
        <f>SUMEXPEN!H355</f>
        <v>0.8</v>
      </c>
      <c r="G370" s="80"/>
      <c r="H370" s="663">
        <f>SUMEXPEN!J355</f>
        <v>20183</v>
      </c>
      <c r="I370" s="664">
        <f>SUMEXPEN!K355</f>
        <v>0</v>
      </c>
      <c r="J370" s="357">
        <f>SUMEXPEN!L355</f>
        <v>-0.15</v>
      </c>
    </row>
    <row r="371" spans="1:10">
      <c r="A371" s="358" t="str">
        <f>SUMEXPEN!B356</f>
        <v>Adult Education</v>
      </c>
      <c r="B371" s="359">
        <f>SUMEXPEN!D356</f>
        <v>0</v>
      </c>
      <c r="C371" s="327"/>
      <c r="D371" s="769">
        <f>SUMEXPEN!F356</f>
        <v>0</v>
      </c>
      <c r="E371" s="662">
        <f>SUMEXPEN!G356</f>
        <v>0</v>
      </c>
      <c r="F371" s="360">
        <f>SUMEXPEN!H356</f>
        <v>0</v>
      </c>
      <c r="G371" s="80"/>
      <c r="H371" s="769">
        <f>SUMEXPEN!J356</f>
        <v>0</v>
      </c>
      <c r="I371" s="662">
        <f>SUMEXPEN!K356</f>
        <v>0</v>
      </c>
      <c r="J371" s="360">
        <f>SUMEXPEN!L356</f>
        <v>0</v>
      </c>
    </row>
    <row r="372" spans="1:10">
      <c r="A372" s="342" t="str">
        <f>SUMEXPEN!B357</f>
        <v>Adult Supplemental Education</v>
      </c>
      <c r="B372" s="331">
        <f>SUMEXPEN!D357</f>
        <v>0</v>
      </c>
      <c r="C372" s="327"/>
      <c r="D372" s="656">
        <f>SUMEXPEN!F357</f>
        <v>0</v>
      </c>
      <c r="E372" s="655">
        <f>SUMEXPEN!G357</f>
        <v>0</v>
      </c>
      <c r="F372" s="332">
        <f>SUMEXPEN!H357</f>
        <v>0</v>
      </c>
      <c r="G372" s="80"/>
      <c r="H372" s="656">
        <f>SUMEXPEN!J357</f>
        <v>0</v>
      </c>
      <c r="I372" s="655">
        <f>SUMEXPEN!K357</f>
        <v>0</v>
      </c>
      <c r="J372" s="332">
        <f>SUMEXPEN!L357</f>
        <v>0</v>
      </c>
    </row>
    <row r="373" spans="1:10" ht="15.75" thickBot="1">
      <c r="A373" s="361" t="str">
        <f>SUMEXPEN!B358</f>
        <v>Special Education Coop</v>
      </c>
      <c r="B373" s="362">
        <f>SUMEXPEN!D358</f>
        <v>0</v>
      </c>
      <c r="C373" s="327"/>
      <c r="D373" s="684">
        <f>SUMEXPEN!F358</f>
        <v>0</v>
      </c>
      <c r="E373" s="660">
        <f>SUMEXPEN!G358</f>
        <v>0</v>
      </c>
      <c r="F373" s="363">
        <f>SUMEXPEN!H358</f>
        <v>0</v>
      </c>
      <c r="G373" s="80"/>
      <c r="H373" s="684">
        <f>SUMEXPEN!J358</f>
        <v>0</v>
      </c>
      <c r="I373" s="660">
        <f>SUMEXPEN!K358</f>
        <v>0</v>
      </c>
      <c r="J373" s="363">
        <f>SUMEXPEN!L358</f>
        <v>0</v>
      </c>
    </row>
    <row r="374" spans="1:10" ht="15.75" thickTop="1">
      <c r="A374" s="364" t="str">
        <f>SUMEXPEN!B359</f>
        <v>TOTAL</v>
      </c>
      <c r="B374" s="366">
        <f>SUMEXPEN!D359</f>
        <v>938685</v>
      </c>
      <c r="C374" s="327"/>
      <c r="D374" s="772">
        <f>SUMEXPEN!F359</f>
        <v>1968697</v>
      </c>
      <c r="E374" s="773">
        <f>SUMEXPEN!G359</f>
        <v>0</v>
      </c>
      <c r="F374" s="367">
        <f>SUMEXPEN!H359</f>
        <v>1.1000000000000001</v>
      </c>
      <c r="G374" s="80"/>
      <c r="H374" s="770">
        <f>SUMEXPEN!J359</f>
        <v>1412804</v>
      </c>
      <c r="I374" s="771">
        <f>SUMEXPEN!K359</f>
        <v>0</v>
      </c>
      <c r="J374" s="367">
        <f>SUMEXPEN!L359</f>
        <v>-0.28000000000000003</v>
      </c>
    </row>
    <row r="375" spans="1:10" ht="5.0999999999999996" customHeight="1">
      <c r="A375" s="2"/>
      <c r="B375" s="555"/>
      <c r="C375" s="317"/>
      <c r="D375" s="557"/>
      <c r="E375" s="558"/>
      <c r="F375" s="556"/>
      <c r="G375" s="80"/>
      <c r="H375" s="557"/>
      <c r="I375" s="558"/>
      <c r="J375" s="556"/>
    </row>
    <row r="376" spans="1:10">
      <c r="A376" s="930" t="str">
        <f>SUMEXPEN!B361</f>
        <v>1.  Gifts &amp; Grants includes private grants and grants from non-federal sources.</v>
      </c>
      <c r="B376" s="930"/>
      <c r="C376" s="930"/>
      <c r="D376" s="930"/>
      <c r="E376" s="930"/>
      <c r="F376" s="930"/>
      <c r="G376" s="930"/>
      <c r="H376" s="930"/>
      <c r="I376" s="930"/>
      <c r="J376" s="930"/>
    </row>
    <row r="377" spans="1:10">
      <c r="A377" s="930" t="str">
        <f>SUMEXPEN!B362</f>
        <v>2.  Amount per pupil excludes the following funds:  Adult Education, Adult Supplemental Education, and Special Education Coop.</v>
      </c>
      <c r="B377" s="930"/>
      <c r="C377" s="930"/>
      <c r="D377" s="930"/>
      <c r="E377" s="930"/>
      <c r="F377" s="930"/>
      <c r="G377" s="930"/>
      <c r="H377" s="930"/>
      <c r="I377" s="930"/>
      <c r="J377" s="930"/>
    </row>
    <row r="378" spans="1:10" ht="25.5" customHeight="1">
      <c r="A378" s="931" t="str">
        <f>SUMEXPEN!B363</f>
        <v>3.  FTE enrollment includes 9/20 and 2/20 counts, Preschool-Aged At-Risk (3 and 4 year old) and Virtual; excludes KAMS.  Beginning in 2017-2018, full-day Kindergarten is 
     funded as 1.0 FTE.</v>
      </c>
      <c r="B378" s="931"/>
      <c r="C378" s="931"/>
      <c r="D378" s="931"/>
      <c r="E378" s="931"/>
      <c r="F378" s="931"/>
      <c r="G378" s="931"/>
      <c r="H378" s="931"/>
      <c r="I378" s="931"/>
      <c r="J378" s="931"/>
    </row>
    <row r="396" spans="1:10" ht="9.9499999999999993" customHeight="1"/>
    <row r="397" spans="1:10" ht="18">
      <c r="A397" s="915" t="str">
        <f>CO99a!B2</f>
        <v>Sources of Revenue and Proposed Budget for 2025-2026</v>
      </c>
      <c r="B397" s="915"/>
      <c r="C397" s="915"/>
      <c r="D397" s="915"/>
      <c r="E397" s="915"/>
      <c r="F397" s="915"/>
      <c r="G397" s="915"/>
      <c r="H397" s="915"/>
      <c r="I397" s="915"/>
      <c r="J397" s="915"/>
    </row>
    <row r="399" spans="1:10">
      <c r="A399" s="867" t="str">
        <f>CO99a!B4</f>
        <v>Fund</v>
      </c>
      <c r="B399" s="85" t="str">
        <f>CO99a!C4</f>
        <v>2025-2026</v>
      </c>
      <c r="C399" s="86"/>
      <c r="D399" s="916" t="str">
        <f>CO99a!E4</f>
        <v>Estimated Sources of Revenue - 2025-2026</v>
      </c>
      <c r="E399" s="917"/>
      <c r="F399" s="917"/>
      <c r="G399" s="917"/>
      <c r="H399" s="918"/>
      <c r="I399" s="928" t="str">
        <f>CO99a!J4</f>
        <v>Estimated</v>
      </c>
      <c r="J399" s="929"/>
    </row>
    <row r="400" spans="1:10">
      <c r="A400" s="868"/>
      <c r="B400" s="91" t="str">
        <f>CO99a!C5</f>
        <v>Amount</v>
      </c>
      <c r="C400" s="92" t="str">
        <f>CO99a!D5</f>
        <v>July 1, 2025</v>
      </c>
      <c r="D400" s="871" t="str">
        <f>CO99a!E5</f>
        <v>State</v>
      </c>
      <c r="E400" s="871" t="str">
        <f>CO99a!F5</f>
        <v>Federal</v>
      </c>
      <c r="F400" s="919" t="str">
        <f>CO99a!G5</f>
        <v>Local</v>
      </c>
      <c r="G400" s="920"/>
      <c r="H400" s="921"/>
      <c r="I400" s="926" t="str">
        <f>CO99a!J5</f>
        <v>July 1, 2026</v>
      </c>
      <c r="J400" s="927"/>
    </row>
    <row r="401" spans="1:10">
      <c r="A401" s="869"/>
      <c r="B401" s="91" t="str">
        <f>CO99a!C6</f>
        <v>Budgeted</v>
      </c>
      <c r="C401" s="91" t="str">
        <f>CO99a!D6</f>
        <v>Cash Balance</v>
      </c>
      <c r="D401" s="872">
        <f>CO99a!E6</f>
        <v>0</v>
      </c>
      <c r="E401" s="872">
        <f>CO99a!F6</f>
        <v>0</v>
      </c>
      <c r="F401" s="95" t="str">
        <f>CO99a!G6</f>
        <v xml:space="preserve">Interest </v>
      </c>
      <c r="G401" s="95" t="str">
        <f>CO99a!H6</f>
        <v>Transfers</v>
      </c>
      <c r="H401" s="95" t="str">
        <f>CO99a!I6</f>
        <v>Other</v>
      </c>
      <c r="I401" s="924" t="str">
        <f>CO99a!J6</f>
        <v>Cash Balance</v>
      </c>
      <c r="J401" s="925"/>
    </row>
    <row r="402" spans="1:10">
      <c r="A402" s="565" t="str">
        <f>CO99a!B7</f>
        <v xml:space="preserve">General </v>
      </c>
      <c r="B402" s="576">
        <f>IF(CO99a!C7="","",CO99a!C7)</f>
        <v>1229124</v>
      </c>
      <c r="C402" s="576">
        <f>IF(CO99a!D7="","",CO99a!D7)</f>
        <v>0</v>
      </c>
      <c r="D402" s="576">
        <f>IF(CO99a!E7="","",CO99a!E7)</f>
        <v>1229124</v>
      </c>
      <c r="E402" s="576">
        <f>IF(CO99a!F7="","",CO99a!F7)</f>
        <v>0</v>
      </c>
      <c r="F402" s="577" t="str">
        <f>IF(CO99a!G7="","",CO99a!G7)</f>
        <v/>
      </c>
      <c r="G402" s="577" t="str">
        <f>IF(CO99a!H7="","",CO99a!H7)</f>
        <v/>
      </c>
      <c r="H402" s="578">
        <f>IF(CO99a!I7="","",CO99a!I7)</f>
        <v>0</v>
      </c>
      <c r="I402" s="922">
        <f>IF(CO99a!J7="","",CO99a!J7)</f>
        <v>0</v>
      </c>
      <c r="J402" s="923"/>
    </row>
    <row r="403" spans="1:10">
      <c r="A403" s="566" t="str">
        <f>CO99a!B8</f>
        <v>Supplemental General</v>
      </c>
      <c r="B403" s="579">
        <f>IF(CO99a!C8="","",CO99a!C8)</f>
        <v>437737</v>
      </c>
      <c r="C403" s="579">
        <f>IF(CO99a!D8="","",CO99a!D8)</f>
        <v>0</v>
      </c>
      <c r="D403" s="579">
        <f>IF(CO99a!E8="","",CO99a!E8)</f>
        <v>0</v>
      </c>
      <c r="E403" s="580" t="str">
        <f>IF(CO99a!F8="","",CO99a!F8)</f>
        <v/>
      </c>
      <c r="F403" s="580" t="str">
        <f>IF(CO99a!G8="","",CO99a!G8)</f>
        <v/>
      </c>
      <c r="G403" s="579">
        <f>IF(CO99a!H8="","",CO99a!H8)</f>
        <v>0</v>
      </c>
      <c r="H403" s="581">
        <f>IF(CO99a!I8="","",CO99a!I8)</f>
        <v>437737</v>
      </c>
      <c r="I403" s="911" t="str">
        <f>IF(CO99a!J8="","",CO99a!J8)</f>
        <v/>
      </c>
      <c r="J403" s="912"/>
    </row>
    <row r="404" spans="1:10">
      <c r="A404" s="567" t="str">
        <f>CO99a!B9</f>
        <v>Adult Education</v>
      </c>
      <c r="B404" s="576">
        <f>IF(CO99a!C9="","",CO99a!C9)</f>
        <v>0</v>
      </c>
      <c r="C404" s="576">
        <f>IF(CO99a!D9="","",CO99a!D9)</f>
        <v>0</v>
      </c>
      <c r="D404" s="576">
        <f>IF(CO99a!E9="","",CO99a!E9)</f>
        <v>0</v>
      </c>
      <c r="E404" s="576">
        <f>IF(CO99a!F9="","",CO99a!F9)</f>
        <v>0</v>
      </c>
      <c r="F404" s="577">
        <f>IF(CO99a!G9="","",CO99a!G9)</f>
        <v>0</v>
      </c>
      <c r="G404" s="576">
        <f>IF(CO99a!H9="","",CO99a!H9)</f>
        <v>0</v>
      </c>
      <c r="H404" s="582">
        <f>IF(CO99a!I9="","",CO99a!I9)</f>
        <v>0</v>
      </c>
      <c r="I404" s="909">
        <f>IF(CO99a!J9="","",CO99a!J9)</f>
        <v>0</v>
      </c>
      <c r="J404" s="910"/>
    </row>
    <row r="405" spans="1:10" ht="25.5">
      <c r="A405" s="566" t="str">
        <f>CO99a!B10</f>
        <v>Preschool-Aged At-Risk (3 and 4 yr Old)</v>
      </c>
      <c r="B405" s="579">
        <f>IF(CO99a!C10="","",CO99a!C10)</f>
        <v>5000</v>
      </c>
      <c r="C405" s="579">
        <f>IF(CO99a!D10="","",CO99a!D10)</f>
        <v>0</v>
      </c>
      <c r="D405" s="580" t="str">
        <f>IF(CO99a!E10="","",CO99a!E10)</f>
        <v/>
      </c>
      <c r="E405" s="579">
        <f>IF(CO99a!F10="","",CO99a!F10)</f>
        <v>0</v>
      </c>
      <c r="F405" s="583">
        <f>IF(CO99a!G10="","",CO99a!G10)</f>
        <v>0</v>
      </c>
      <c r="G405" s="579">
        <f>IF(CO99a!H10="","",CO99a!H10)</f>
        <v>5000</v>
      </c>
      <c r="H405" s="581">
        <f>IF(CO99a!I10="","",CO99a!I10)</f>
        <v>0</v>
      </c>
      <c r="I405" s="907">
        <f>IF(CO99a!J10="","",CO99a!J10)</f>
        <v>0</v>
      </c>
      <c r="J405" s="908"/>
    </row>
    <row r="406" spans="1:10">
      <c r="A406" s="567" t="str">
        <f>CO99a!B11</f>
        <v>Adult Supplemental Education</v>
      </c>
      <c r="B406" s="576">
        <f>IF(CO99a!C11="","",CO99a!C11)</f>
        <v>0</v>
      </c>
      <c r="C406" s="576">
        <f>IF(CO99a!D11="","",CO99a!D11)</f>
        <v>0</v>
      </c>
      <c r="D406" s="577" t="str">
        <f>IF(CO99a!E11="","",CO99a!E11)</f>
        <v/>
      </c>
      <c r="E406" s="577" t="str">
        <f>IF(CO99a!F11="","",CO99a!F11)</f>
        <v/>
      </c>
      <c r="F406" s="577">
        <f>IF(CO99a!G11="","",CO99a!G11)</f>
        <v>0</v>
      </c>
      <c r="G406" s="576">
        <f>IF(CO99a!H11="","",CO99a!H11)</f>
        <v>0</v>
      </c>
      <c r="H406" s="576">
        <f>IF(CO99a!I11="","",CO99a!I11)</f>
        <v>0</v>
      </c>
      <c r="I406" s="909">
        <f>IF(CO99a!J11="","",CO99a!J11)</f>
        <v>0</v>
      </c>
      <c r="J406" s="910"/>
    </row>
    <row r="407" spans="1:10">
      <c r="A407" s="566" t="str">
        <f>CO99a!B12</f>
        <v>At-Risk Education Fund</v>
      </c>
      <c r="B407" s="579">
        <f>IF(CO99a!C12="","",CO99a!C12)</f>
        <v>275674</v>
      </c>
      <c r="C407" s="579">
        <f>IF(CO99a!D12="","",CO99a!D12)</f>
        <v>118243</v>
      </c>
      <c r="D407" s="580" t="str">
        <f>IF(CO99a!E12="","",CO99a!E12)</f>
        <v/>
      </c>
      <c r="E407" s="579">
        <f>IF(CO99a!F12="","",CO99a!F12)</f>
        <v>0</v>
      </c>
      <c r="F407" s="583">
        <f>IF(CO99a!G12="","",CO99a!G12)</f>
        <v>0</v>
      </c>
      <c r="G407" s="579">
        <f>IF(CO99a!H12="","",CO99a!H12)</f>
        <v>157431</v>
      </c>
      <c r="H407" s="581">
        <f>IF(CO99a!I12="","",CO99a!I12)</f>
        <v>0</v>
      </c>
      <c r="I407" s="907">
        <f>IF(CO99a!J12="","",CO99a!J12)</f>
        <v>0</v>
      </c>
      <c r="J407" s="908"/>
    </row>
    <row r="408" spans="1:10">
      <c r="A408" s="567" t="str">
        <f>CO99a!B13</f>
        <v>Bilingual Education</v>
      </c>
      <c r="B408" s="576">
        <f>IF(CO99a!C13="","",CO99a!C13)</f>
        <v>10350</v>
      </c>
      <c r="C408" s="576">
        <f>IF(CO99a!D13="","",CO99a!D13)</f>
        <v>7995</v>
      </c>
      <c r="D408" s="576" t="str">
        <f>IF(CO99a!E13="","",CO99a!E13)</f>
        <v/>
      </c>
      <c r="E408" s="576">
        <f>IF(CO99a!F13="","",CO99a!F13)</f>
        <v>0</v>
      </c>
      <c r="F408" s="577">
        <f>IF(CO99a!G13="","",CO99a!G13)</f>
        <v>0</v>
      </c>
      <c r="G408" s="576">
        <f>IF(CO99a!H13="","",CO99a!H13)</f>
        <v>5965</v>
      </c>
      <c r="H408" s="576">
        <f>IF(CO99a!I13="","",CO99a!I13)</f>
        <v>0</v>
      </c>
      <c r="I408" s="909">
        <f>IF(CO99a!J13="","",CO99a!J13)</f>
        <v>3610</v>
      </c>
      <c r="J408" s="910"/>
    </row>
    <row r="409" spans="1:10">
      <c r="A409" s="566" t="str">
        <f>CO99a!B14</f>
        <v>Virtual Education</v>
      </c>
      <c r="B409" s="579">
        <f>IF(CO99a!C14="","",CO99a!C14)</f>
        <v>0</v>
      </c>
      <c r="C409" s="579">
        <f>IF(CO99a!D14="","",CO99a!D14)</f>
        <v>0</v>
      </c>
      <c r="D409" s="580" t="str">
        <f>IF(CO99a!E14="","",CO99a!E14)</f>
        <v/>
      </c>
      <c r="E409" s="580" t="str">
        <f>IF(CO99a!F14="","",CO99a!F14)</f>
        <v/>
      </c>
      <c r="F409" s="579">
        <f>IF(CO99a!G14="","",CO99a!G14)</f>
        <v>0</v>
      </c>
      <c r="G409" s="579">
        <f>IF(CO99a!H14="","",CO99a!H14)</f>
        <v>0</v>
      </c>
      <c r="H409" s="579">
        <f>IF(CO99a!I14="","",CO99a!I14)</f>
        <v>0</v>
      </c>
      <c r="I409" s="907">
        <f>IF(CO99a!J14="","",CO99a!J14)</f>
        <v>0</v>
      </c>
      <c r="J409" s="908"/>
    </row>
    <row r="410" spans="1:10">
      <c r="A410" s="567" t="str">
        <f>CO99a!B15</f>
        <v>Capital Outlay</v>
      </c>
      <c r="B410" s="576">
        <f>IF(CO99a!C15="","",CO99a!C15)</f>
        <v>317014</v>
      </c>
      <c r="C410" s="576">
        <f>IF(CO99a!D15="","",CO99a!D15)</f>
        <v>575323</v>
      </c>
      <c r="D410" s="576">
        <f>IF(CO99a!E15="","",CO99a!E15)</f>
        <v>0</v>
      </c>
      <c r="E410" s="576">
        <f>IF(CO99a!F15="","",CO99a!F15)</f>
        <v>0</v>
      </c>
      <c r="F410" s="576">
        <f>IF(CO99a!G15="","",CO99a!G15)</f>
        <v>0</v>
      </c>
      <c r="G410" s="576">
        <f>IF(CO99a!H15="","",CO99a!H15)</f>
        <v>0</v>
      </c>
      <c r="H410" s="576">
        <f>IF(CO99a!I15="","",CO99a!I15)</f>
        <v>155270</v>
      </c>
      <c r="I410" s="909">
        <f>IF(CO99a!J15="","",CO99a!J15)</f>
        <v>413579</v>
      </c>
      <c r="J410" s="910"/>
    </row>
    <row r="411" spans="1:10">
      <c r="A411" s="566" t="str">
        <f>CO99a!B16</f>
        <v>Driver Training</v>
      </c>
      <c r="B411" s="579">
        <f>IF(CO99a!C16="","",CO99a!C16)</f>
        <v>0</v>
      </c>
      <c r="C411" s="579">
        <f>IF(CO99a!D16="","",CO99a!D16)</f>
        <v>0</v>
      </c>
      <c r="D411" s="579">
        <f>IF(CO99a!E16="","",CO99a!E16)</f>
        <v>0</v>
      </c>
      <c r="E411" s="579">
        <f>IF(CO99a!F16="","",CO99a!F16)</f>
        <v>0</v>
      </c>
      <c r="F411" s="583">
        <f>IF(CO99a!G16="","",CO99a!G16)</f>
        <v>0</v>
      </c>
      <c r="G411" s="579">
        <f>IF(CO99a!H16="","",CO99a!H16)</f>
        <v>0</v>
      </c>
      <c r="H411" s="579">
        <f>IF(CO99a!I16="","",CO99a!I16)</f>
        <v>0</v>
      </c>
      <c r="I411" s="907">
        <f>IF(CO99a!J16="","",CO99a!J16)</f>
        <v>0</v>
      </c>
      <c r="J411" s="908"/>
    </row>
    <row r="412" spans="1:10">
      <c r="A412" s="567" t="str">
        <f>CO99a!B17</f>
        <v>Declining Enrollment</v>
      </c>
      <c r="B412" s="577">
        <f>IF(CO99a!C17="","",CO99a!C17)</f>
        <v>0</v>
      </c>
      <c r="C412" s="576">
        <f>IF(CO99a!D17="","",CO99a!D17)</f>
        <v>0</v>
      </c>
      <c r="D412" s="576" t="str">
        <f>IF(CO99a!E17="","",CO99a!E17)</f>
        <v/>
      </c>
      <c r="E412" s="576" t="str">
        <f>IF(CO99a!F17="","",CO99a!F17)</f>
        <v/>
      </c>
      <c r="F412" s="576" t="str">
        <f>IF(CO99a!G17="","",CO99a!G17)</f>
        <v/>
      </c>
      <c r="G412" s="576">
        <f>IF(CO99a!H17="","",CO99a!H17)</f>
        <v>0</v>
      </c>
      <c r="H412" s="577" t="str">
        <f>IF(CO99a!I17="","",CO99a!I17)</f>
        <v/>
      </c>
      <c r="I412" s="909">
        <f>IF(CO99a!J17="","",CO99a!J17)</f>
        <v>0</v>
      </c>
      <c r="J412" s="910"/>
    </row>
    <row r="413" spans="1:10">
      <c r="A413" s="566" t="str">
        <f>CO99a!B18</f>
        <v>Extraordinary School Program</v>
      </c>
      <c r="B413" s="579">
        <f>IF(CO99a!C18="","",CO99a!C18)</f>
        <v>0</v>
      </c>
      <c r="C413" s="579">
        <f>IF(CO99a!D18="","",CO99a!D18)</f>
        <v>0</v>
      </c>
      <c r="D413" s="580" t="str">
        <f>IF(CO99a!E18="","",CO99a!E18)</f>
        <v/>
      </c>
      <c r="E413" s="579">
        <f>IF(CO99a!F18="","",CO99a!F18)</f>
        <v>0</v>
      </c>
      <c r="F413" s="583">
        <f>IF(CO99a!G18="","",CO99a!G18)</f>
        <v>0</v>
      </c>
      <c r="G413" s="579">
        <f>IF(CO99a!H18="","",CO99a!H18)</f>
        <v>0</v>
      </c>
      <c r="H413" s="579">
        <f>IF(CO99a!I18="","",CO99a!I18)</f>
        <v>0</v>
      </c>
      <c r="I413" s="907">
        <f>IF(CO99a!J18="","",CO99a!J18)</f>
        <v>0</v>
      </c>
      <c r="J413" s="908"/>
    </row>
    <row r="414" spans="1:10">
      <c r="A414" s="567" t="str">
        <f>CO99a!B19</f>
        <v>Food Service</v>
      </c>
      <c r="B414" s="576">
        <f>IF(CO99a!C19="","",CO99a!C19)</f>
        <v>207128</v>
      </c>
      <c r="C414" s="576">
        <f>IF(CO99a!D19="","",CO99a!D19)</f>
        <v>66931</v>
      </c>
      <c r="D414" s="576">
        <f>IF(CO99a!E19="","",CO99a!E19)</f>
        <v>168</v>
      </c>
      <c r="E414" s="576">
        <f>IF(CO99a!F19="","",CO99a!F19)</f>
        <v>37547</v>
      </c>
      <c r="F414" s="577">
        <f>IF(CO99a!G19="","",CO99a!G19)</f>
        <v>0</v>
      </c>
      <c r="G414" s="576">
        <f>IF(CO99a!H19="","",CO99a!H19)</f>
        <v>90000</v>
      </c>
      <c r="H414" s="576">
        <f>IF(CO99a!I19="","",CO99a!I19)</f>
        <v>12482</v>
      </c>
      <c r="I414" s="909">
        <f>IF(CO99a!J19="","",CO99a!J19)</f>
        <v>0</v>
      </c>
      <c r="J414" s="910"/>
    </row>
    <row r="415" spans="1:10">
      <c r="A415" s="566" t="str">
        <f>CO99a!B20</f>
        <v>Professional Development</v>
      </c>
      <c r="B415" s="579">
        <f>IF(CO99a!C20="","",CO99a!C20)</f>
        <v>0</v>
      </c>
      <c r="C415" s="579">
        <f>IF(CO99a!D20="","",CO99a!D20)</f>
        <v>20268</v>
      </c>
      <c r="D415" s="579">
        <f>IF(CO99a!E20="","",CO99a!E20)</f>
        <v>0</v>
      </c>
      <c r="E415" s="579">
        <f>IF(CO99a!F20="","",CO99a!F20)</f>
        <v>0</v>
      </c>
      <c r="F415" s="583">
        <f>IF(CO99a!G20="","",CO99a!G20)</f>
        <v>0</v>
      </c>
      <c r="G415" s="579">
        <f>IF(CO99a!H20="","",CO99a!H20)</f>
        <v>0</v>
      </c>
      <c r="H415" s="579">
        <f>IF(CO99a!I20="","",CO99a!I20)</f>
        <v>0</v>
      </c>
      <c r="I415" s="907">
        <f>IF(CO99a!J20="","",CO99a!J20)</f>
        <v>20268</v>
      </c>
      <c r="J415" s="908"/>
    </row>
    <row r="416" spans="1:10">
      <c r="A416" s="567" t="str">
        <f>CO99a!B21</f>
        <v>Parent Education Program</v>
      </c>
      <c r="B416" s="576">
        <f>IF(CO99a!C21="","",CO99a!C21)</f>
        <v>0</v>
      </c>
      <c r="C416" s="576">
        <f>IF(CO99a!D21="","",CO99a!D21)</f>
        <v>0</v>
      </c>
      <c r="D416" s="576">
        <f>IF(CO99a!E21="","",CO99a!E21)</f>
        <v>0</v>
      </c>
      <c r="E416" s="576">
        <f>IF(CO99a!F21="","",CO99a!F21)</f>
        <v>0</v>
      </c>
      <c r="F416" s="577">
        <f>IF(CO99a!G21="","",CO99a!G21)</f>
        <v>0</v>
      </c>
      <c r="G416" s="576">
        <f>IF(CO99a!H21="","",CO99a!H21)</f>
        <v>0</v>
      </c>
      <c r="H416" s="576">
        <f>IF(CO99a!I21="","",CO99a!I21)</f>
        <v>0</v>
      </c>
      <c r="I416" s="909">
        <f>IF(CO99a!J21="","",CO99a!J21)</f>
        <v>0</v>
      </c>
      <c r="J416" s="910"/>
    </row>
    <row r="417" spans="1:10">
      <c r="A417" s="566" t="str">
        <f>CO99a!B22</f>
        <v>Summer School</v>
      </c>
      <c r="B417" s="579">
        <f>IF(CO99a!C22="","",CO99a!C22)</f>
        <v>0</v>
      </c>
      <c r="C417" s="579">
        <f>IF(CO99a!D22="","",CO99a!D22)</f>
        <v>0</v>
      </c>
      <c r="D417" s="580" t="str">
        <f>IF(CO99a!E22="","",CO99a!E22)</f>
        <v/>
      </c>
      <c r="E417" s="579">
        <f>IF(CO99a!F22="","",CO99a!F22)</f>
        <v>0</v>
      </c>
      <c r="F417" s="583">
        <f>IF(CO99a!G22="","",CO99a!G22)</f>
        <v>0</v>
      </c>
      <c r="G417" s="579">
        <f>IF(CO99a!H22="","",CO99a!H22)</f>
        <v>0</v>
      </c>
      <c r="H417" s="579">
        <f>IF(CO99a!I22="","",CO99a!I22)</f>
        <v>0</v>
      </c>
      <c r="I417" s="907">
        <f>IF(CO99a!J22="","",CO99a!J22)</f>
        <v>0</v>
      </c>
      <c r="J417" s="908"/>
    </row>
    <row r="418" spans="1:10">
      <c r="A418" s="567" t="str">
        <f>CO99a!B23</f>
        <v>Special Education</v>
      </c>
      <c r="B418" s="576">
        <f>IF(CO99a!C23="","",CO99a!C23)</f>
        <v>275168</v>
      </c>
      <c r="C418" s="576">
        <f>IF(CO99a!D23="","",CO99a!D23)</f>
        <v>151300</v>
      </c>
      <c r="D418" s="576">
        <f>IF(CO99a!E23="","",CO99a!E23)</f>
        <v>0</v>
      </c>
      <c r="E418" s="576">
        <f>IF(CO99a!F23="","",CO99a!F23)</f>
        <v>0</v>
      </c>
      <c r="F418" s="577">
        <f>IF(CO99a!G23="","",CO99a!G23)</f>
        <v>0</v>
      </c>
      <c r="G418" s="576">
        <f>IF(CO99a!H23="","",CO99a!H23)</f>
        <v>121868</v>
      </c>
      <c r="H418" s="576">
        <f>IF(CO99a!I23="","",CO99a!I23)</f>
        <v>2000</v>
      </c>
      <c r="I418" s="909">
        <f>IF(CO99a!J23="","",CO99a!J23)</f>
        <v>0</v>
      </c>
      <c r="J418" s="910"/>
    </row>
    <row r="419" spans="1:10" ht="25.5">
      <c r="A419" s="566" t="str">
        <f>CO99a!B24</f>
        <v>Career and Postsecondary Education</v>
      </c>
      <c r="B419" s="579">
        <f>IF(CO99a!C24="","",CO99a!C24)</f>
        <v>0</v>
      </c>
      <c r="C419" s="579">
        <f>IF(CO99a!D24="","",CO99a!D24)</f>
        <v>0</v>
      </c>
      <c r="D419" s="579">
        <f>IF(CO99a!E24="","",CO99a!E24)</f>
        <v>0</v>
      </c>
      <c r="E419" s="579">
        <f>IF(CO99a!F24="","",CO99a!F24)</f>
        <v>0</v>
      </c>
      <c r="F419" s="583">
        <f>IF(CO99a!G24="","",CO99a!G24)</f>
        <v>0</v>
      </c>
      <c r="G419" s="579">
        <f>IF(CO99a!H24="","",CO99a!H24)</f>
        <v>0</v>
      </c>
      <c r="H419" s="579">
        <f>IF(CO99a!I24="","",CO99a!I24)</f>
        <v>0</v>
      </c>
      <c r="I419" s="907">
        <f>IF(CO99a!J24="","",CO99a!J24)</f>
        <v>0</v>
      </c>
      <c r="J419" s="908"/>
    </row>
    <row r="420" spans="1:10">
      <c r="A420" s="567" t="str">
        <f>CO99a!B25</f>
        <v>Special Liability Expense Fund</v>
      </c>
      <c r="B420" s="576">
        <f>IF(CO99a!C25="","",CO99a!C25)</f>
        <v>0</v>
      </c>
      <c r="C420" s="584">
        <f>IF(CO99a!D25="","",CO99a!D25)</f>
        <v>0</v>
      </c>
      <c r="D420" s="584" t="str">
        <f>IF(CO99a!E25="","",CO99a!E25)</f>
        <v/>
      </c>
      <c r="E420" s="584" t="str">
        <f>IF(CO99a!F25="","",CO99a!F25)</f>
        <v/>
      </c>
      <c r="F420" s="576">
        <f>IF(CO99a!G25="","",CO99a!G25)</f>
        <v>0</v>
      </c>
      <c r="G420" s="576">
        <f>IF(CO99a!H25="","",CO99a!H25)</f>
        <v>0</v>
      </c>
      <c r="H420" s="576">
        <f>IF(CO99a!I25="","",CO99a!I25)</f>
        <v>0</v>
      </c>
      <c r="I420" s="909">
        <f>IF(CO99a!J25="","",CO99a!J25)</f>
        <v>0</v>
      </c>
      <c r="J420" s="910"/>
    </row>
    <row r="421" spans="1:10">
      <c r="A421" s="568" t="str">
        <f>CO99a!B26</f>
        <v>Special Reserve Fund</v>
      </c>
      <c r="B421" s="585" t="str">
        <f>IF(CO99a!C26="","",CO99a!C26)</f>
        <v/>
      </c>
      <c r="C421" s="579">
        <f>IF(CO99a!D26="","",CO99a!D26)</f>
        <v>0</v>
      </c>
      <c r="D421" s="585" t="str">
        <f>IF(CO99a!E26="","",CO99a!E26)</f>
        <v/>
      </c>
      <c r="E421" s="585" t="str">
        <f>IF(CO99a!F26="","",CO99a!F26)</f>
        <v/>
      </c>
      <c r="F421" s="585" t="str">
        <f>IF(CO99a!G26="","",CO99a!G26)</f>
        <v/>
      </c>
      <c r="G421" s="585" t="str">
        <f>IF(CO99a!H26="","",CO99a!H26)</f>
        <v/>
      </c>
      <c r="H421" s="585" t="str">
        <f>IF(CO99a!I26="","",CO99a!I26)</f>
        <v/>
      </c>
      <c r="I421" s="911" t="str">
        <f>IF(CO99a!J26="","",CO99a!J26)</f>
        <v/>
      </c>
      <c r="J421" s="912"/>
    </row>
    <row r="422" spans="1:10">
      <c r="A422" s="569" t="str">
        <f>CO99a!B27</f>
        <v>Gifts and Grants</v>
      </c>
      <c r="B422" s="576">
        <f>IF(CO99a!C27="","",CO99a!C27)</f>
        <v>125522</v>
      </c>
      <c r="C422" s="584">
        <f>IF(CO99a!D27="","",CO99a!D27)</f>
        <v>50022</v>
      </c>
      <c r="D422" s="576">
        <f>IF(CO99a!E27="","",CO99a!E27)</f>
        <v>10500</v>
      </c>
      <c r="E422" s="576">
        <f>IF(CO99a!F27="","",CO99a!F27)</f>
        <v>0</v>
      </c>
      <c r="F422" s="576" t="str">
        <f>IF(CO99a!G27="","",CO99a!G27)</f>
        <v/>
      </c>
      <c r="G422" s="576" t="str">
        <f>IF(CO99a!H27="","",CO99a!H27)</f>
        <v/>
      </c>
      <c r="H422" s="576">
        <f>IF(CO99a!I27="","",CO99a!I27)</f>
        <v>65000</v>
      </c>
      <c r="I422" s="909">
        <f>IF(CO99a!J27="","",CO99a!J27)</f>
        <v>0</v>
      </c>
      <c r="J422" s="910"/>
    </row>
    <row r="423" spans="1:10" ht="25.5">
      <c r="A423" s="568" t="str">
        <f>CO99a!B28</f>
        <v>Textbook &amp; Student Materials Revolving</v>
      </c>
      <c r="B423" s="585" t="str">
        <f>IF(CO99a!C28="","",CO99a!C28)</f>
        <v/>
      </c>
      <c r="C423" s="586">
        <f>IF(CO99a!D28="","",CO99a!D28)</f>
        <v>0</v>
      </c>
      <c r="D423" s="585" t="str">
        <f>IF(CO99a!E28="","",CO99a!E28)</f>
        <v/>
      </c>
      <c r="E423" s="585" t="str">
        <f>IF(CO99a!F28="","",CO99a!F28)</f>
        <v/>
      </c>
      <c r="F423" s="585" t="str">
        <f>IF(CO99a!G28="","",CO99a!G28)</f>
        <v/>
      </c>
      <c r="G423" s="585" t="str">
        <f>IF(CO99a!H28="","",CO99a!H28)</f>
        <v/>
      </c>
      <c r="H423" s="585" t="str">
        <f>IF(CO99a!I28="","",CO99a!I28)</f>
        <v/>
      </c>
      <c r="I423" s="911" t="str">
        <f>IF(CO99a!J28="","",CO99a!J28)</f>
        <v/>
      </c>
      <c r="J423" s="912"/>
    </row>
    <row r="424" spans="1:10">
      <c r="A424" s="569" t="str">
        <f>CO99a!B29</f>
        <v>School Retirement</v>
      </c>
      <c r="B424" s="584">
        <f>IF(CO99a!C29="","",CO99a!C29)</f>
        <v>0</v>
      </c>
      <c r="C424" s="584">
        <f>IF(CO99a!D29="","",CO99a!D29)</f>
        <v>0</v>
      </c>
      <c r="D424" s="584" t="str">
        <f>IF(CO99a!E29="","",CO99a!E29)</f>
        <v/>
      </c>
      <c r="E424" s="584" t="str">
        <f>IF(CO99a!F29="","",CO99a!F29)</f>
        <v/>
      </c>
      <c r="F424" s="584">
        <f>IF(CO99a!G29="","",CO99a!G29)</f>
        <v>0</v>
      </c>
      <c r="G424" s="584" t="str">
        <f>IF(CO99a!H29="","",CO99a!H29)</f>
        <v/>
      </c>
      <c r="H424" s="576">
        <f>IF(CO99a!I29="","",CO99a!I29)</f>
        <v>0</v>
      </c>
      <c r="I424" s="909">
        <f>IF(CO99a!J29="","",CO99a!J29)</f>
        <v>0</v>
      </c>
      <c r="J424" s="910"/>
    </row>
    <row r="425" spans="1:10">
      <c r="A425" s="566" t="str">
        <f>CO99a!B30</f>
        <v>Extraordinary Growth Facilities</v>
      </c>
      <c r="B425" s="586">
        <f>IF(CO99a!C30="","",CO99a!C30)</f>
        <v>0</v>
      </c>
      <c r="C425" s="579">
        <f>IF(CO99a!D30="","",CO99a!D30)</f>
        <v>0</v>
      </c>
      <c r="D425" s="580" t="str">
        <f>IF(CO99a!E30="","",CO99a!E30)</f>
        <v/>
      </c>
      <c r="E425" s="580" t="str">
        <f>IF(CO99a!F30="","",CO99a!F30)</f>
        <v/>
      </c>
      <c r="F425" s="580" t="str">
        <f>IF(CO99a!G30="","",CO99a!G30)</f>
        <v/>
      </c>
      <c r="G425" s="579">
        <f>IF(CO99a!H30="","",CO99a!H30)</f>
        <v>0</v>
      </c>
      <c r="H425" s="579">
        <f>IF(CO99a!I30="","",CO99a!I30)</f>
        <v>0</v>
      </c>
      <c r="I425" s="911" t="str">
        <f>IF(CO99a!J30="","",CO99a!J30)</f>
        <v/>
      </c>
      <c r="J425" s="912"/>
    </row>
    <row r="426" spans="1:10" ht="25.5">
      <c r="A426" s="567" t="str">
        <f>CO99a!B31</f>
        <v xml:space="preserve">KPERS Special Retirement Contribution </v>
      </c>
      <c r="B426" s="584">
        <f>IF(CO99a!C31="","",CO99a!C31)</f>
        <v>85251</v>
      </c>
      <c r="C426" s="587">
        <f>IF(CO99a!D31="","",CO99a!D31)</f>
        <v>0</v>
      </c>
      <c r="D426" s="576">
        <f>IF(CO99a!E31="","",CO99a!E31)</f>
        <v>85251</v>
      </c>
      <c r="E426" s="576" t="str">
        <f>IF(CO99a!F31="","",CO99a!F31)</f>
        <v/>
      </c>
      <c r="F426" s="576" t="str">
        <f>IF(CO99a!G31="","",CO99a!G31)</f>
        <v/>
      </c>
      <c r="G426" s="577" t="str">
        <f>IF(CO99a!H31="","",CO99a!H31)</f>
        <v/>
      </c>
      <c r="H426" s="576" t="str">
        <f>IF(CO99a!I31="","",CO99a!I31)</f>
        <v/>
      </c>
      <c r="I426" s="909" t="str">
        <f>IF(CO99a!J31="","",CO99a!J31)</f>
        <v/>
      </c>
      <c r="J426" s="910"/>
    </row>
    <row r="427" spans="1:10">
      <c r="A427" s="568" t="str">
        <f>CO99a!B32</f>
        <v>Contingency Reserve</v>
      </c>
      <c r="B427" s="588" t="str">
        <f>IF(CO99a!C32="","",CO99a!C32)</f>
        <v/>
      </c>
      <c r="C427" s="579">
        <f>IF(CO99a!D32="","",CO99a!D32)</f>
        <v>0</v>
      </c>
      <c r="D427" s="580" t="str">
        <f>IF(CO99a!E32="","",CO99a!E32)</f>
        <v/>
      </c>
      <c r="E427" s="580" t="str">
        <f>IF(CO99a!F32="","",CO99a!F32)</f>
        <v/>
      </c>
      <c r="F427" s="580" t="str">
        <f>IF(CO99a!G32="","",CO99a!G32)</f>
        <v/>
      </c>
      <c r="G427" s="580" t="str">
        <f>IF(CO99a!H32="","",CO99a!H32)</f>
        <v/>
      </c>
      <c r="H427" s="580" t="str">
        <f>IF(CO99a!I32="","",CO99a!I32)</f>
        <v/>
      </c>
      <c r="I427" s="911" t="str">
        <f>IF(CO99a!J32="","",CO99a!J32)</f>
        <v/>
      </c>
      <c r="J427" s="912"/>
    </row>
    <row r="428" spans="1:10">
      <c r="A428" s="569" t="str">
        <f>CO99a!B33</f>
        <v>Activity Funds</v>
      </c>
      <c r="B428" s="576" t="str">
        <f>IF(CO99a!C33="","",CO99a!C33)</f>
        <v/>
      </c>
      <c r="C428" s="576">
        <f>IF(CO99a!D33="","",CO99a!D33)</f>
        <v>0</v>
      </c>
      <c r="D428" s="576" t="str">
        <f>IF(CO99a!E33="","",CO99a!E33)</f>
        <v/>
      </c>
      <c r="E428" s="587" t="str">
        <f>IF(CO99a!F33="","",CO99a!F33)</f>
        <v/>
      </c>
      <c r="F428" s="576" t="str">
        <f>IF(CO99a!G33="","",CO99a!G33)</f>
        <v/>
      </c>
      <c r="G428" s="576" t="str">
        <f>IF(CO99a!H33="","",CO99a!H33)</f>
        <v/>
      </c>
      <c r="H428" s="576" t="str">
        <f>IF(CO99a!I33="","",CO99a!I33)</f>
        <v/>
      </c>
      <c r="I428" s="909" t="str">
        <f>IF(CO99a!J33="","",CO99a!J33)</f>
        <v/>
      </c>
      <c r="J428" s="910"/>
    </row>
    <row r="429" spans="1:10">
      <c r="A429" s="570" t="str">
        <f>CO99a!B34</f>
        <v>Bond and Interest #1</v>
      </c>
      <c r="B429" s="579">
        <f>IF(CO99a!C34="","",CO99a!C34)</f>
        <v>154900</v>
      </c>
      <c r="C429" s="579">
        <f>IF(CO99a!D34="","",CO99a!D34)</f>
        <v>301494</v>
      </c>
      <c r="D429" s="579">
        <f>IF(CO99a!E34="","",CO99a!E34)</f>
        <v>0</v>
      </c>
      <c r="E429" s="579">
        <f>IF(CO99a!F34="","",CO99a!F34)</f>
        <v>0</v>
      </c>
      <c r="F429" s="579">
        <f>IF(CO99a!G34="","",CO99a!G34)</f>
        <v>0</v>
      </c>
      <c r="G429" s="580" t="str">
        <f>IF(CO99a!H34="","",CO99a!H34)</f>
        <v/>
      </c>
      <c r="H429" s="579">
        <f>IF(CO99a!I34="","",CO99a!I34)</f>
        <v>166491</v>
      </c>
      <c r="I429" s="907">
        <f>IF(CO99a!J34="","",CO99a!J34)</f>
        <v>313085</v>
      </c>
      <c r="J429" s="908"/>
    </row>
    <row r="430" spans="1:10">
      <c r="A430" s="571" t="str">
        <f>CO99a!B35</f>
        <v>Bond and Interest #2</v>
      </c>
      <c r="B430" s="576">
        <f>IF(CO99a!C35="","",CO99a!C35)</f>
        <v>0</v>
      </c>
      <c r="C430" s="576">
        <f>IF(CO99a!D35="","",CO99a!D35)</f>
        <v>0</v>
      </c>
      <c r="D430" s="576">
        <f>IF(CO99a!E35="","",CO99a!E35)</f>
        <v>0</v>
      </c>
      <c r="E430" s="576">
        <f>IF(CO99a!F35="","",CO99a!F35)</f>
        <v>0</v>
      </c>
      <c r="F430" s="584">
        <f>IF(CO99a!G35="","",CO99a!G35)</f>
        <v>0</v>
      </c>
      <c r="G430" s="576" t="str">
        <f>IF(CO99a!H35="","",CO99a!H35)</f>
        <v/>
      </c>
      <c r="H430" s="576">
        <f>IF(CO99a!I35="","",CO99a!I35)</f>
        <v>0</v>
      </c>
      <c r="I430" s="909">
        <f>IF(CO99a!J35="","",CO99a!J35)</f>
        <v>0</v>
      </c>
      <c r="J430" s="910"/>
    </row>
    <row r="431" spans="1:10">
      <c r="A431" s="566" t="str">
        <f>CO99a!B36</f>
        <v>No Fund Warrant</v>
      </c>
      <c r="B431" s="579">
        <f>IF(CO99a!C36="","",CO99a!C36)</f>
        <v>0</v>
      </c>
      <c r="C431" s="579">
        <f>IF(CO99a!D36="","",CO99a!D36)</f>
        <v>0</v>
      </c>
      <c r="D431" s="580" t="str">
        <f>IF(CO99a!E36="","",CO99a!E36)</f>
        <v/>
      </c>
      <c r="E431" s="580" t="str">
        <f>IF(CO99a!F36="","",CO99a!F36)</f>
        <v/>
      </c>
      <c r="F431" s="580" t="str">
        <f>IF(CO99a!G36="","",CO99a!G36)</f>
        <v/>
      </c>
      <c r="G431" s="580" t="str">
        <f>IF(CO99a!H36="","",CO99a!H36)</f>
        <v/>
      </c>
      <c r="H431" s="579">
        <f>IF(CO99a!I36="","",CO99a!I36)</f>
        <v>0</v>
      </c>
      <c r="I431" s="907">
        <f>IF(CO99a!J36="","",CO99a!J36)</f>
        <v>0</v>
      </c>
      <c r="J431" s="908"/>
    </row>
    <row r="432" spans="1:10">
      <c r="A432" s="567" t="str">
        <f>CO99a!B37</f>
        <v>Special Assessment</v>
      </c>
      <c r="B432" s="576">
        <f>IF(CO99a!C37="","",CO99a!C37)</f>
        <v>0</v>
      </c>
      <c r="C432" s="584">
        <f>IF(CO99a!D37="","",CO99a!D37)</f>
        <v>0</v>
      </c>
      <c r="D432" s="584" t="str">
        <f>IF(CO99a!E37="","",CO99a!E37)</f>
        <v/>
      </c>
      <c r="E432" s="584" t="str">
        <f>IF(CO99a!F37="","",CO99a!F37)</f>
        <v/>
      </c>
      <c r="F432" s="584" t="str">
        <f>IF(CO99a!G37="","",CO99a!G37)</f>
        <v/>
      </c>
      <c r="G432" s="584" t="str">
        <f>IF(CO99a!H37="","",CO99a!H37)</f>
        <v/>
      </c>
      <c r="H432" s="576">
        <f>IF(CO99a!I37="","",CO99a!I37)</f>
        <v>0</v>
      </c>
      <c r="I432" s="909">
        <f>IF(CO99a!J37="","",CO99a!J37)</f>
        <v>0</v>
      </c>
      <c r="J432" s="910"/>
    </row>
    <row r="433" spans="1:10">
      <c r="A433" s="566" t="str">
        <f>CO99a!B38</f>
        <v>Temporary Note</v>
      </c>
      <c r="B433" s="586">
        <f>IF(CO99a!C38="","",CO99a!C38)</f>
        <v>0</v>
      </c>
      <c r="C433" s="586">
        <f>IF(CO99a!D38="","",CO99a!D38)</f>
        <v>0</v>
      </c>
      <c r="D433" s="580" t="str">
        <f>IF(CO99a!E38="","",CO99a!E38)</f>
        <v/>
      </c>
      <c r="E433" s="580" t="str">
        <f>IF(CO99a!F38="","",CO99a!F38)</f>
        <v/>
      </c>
      <c r="F433" s="583">
        <f>IF(CO99a!G38="","",CO99a!G38)</f>
        <v>0</v>
      </c>
      <c r="G433" s="580" t="str">
        <f>IF(CO99a!H38="","",CO99a!H38)</f>
        <v/>
      </c>
      <c r="H433" s="579">
        <f>IF(CO99a!I38="","",CO99a!I38)</f>
        <v>0</v>
      </c>
      <c r="I433" s="907">
        <f>IF(CO99a!J38="","",CO99a!J38)</f>
        <v>0</v>
      </c>
      <c r="J433" s="908"/>
    </row>
    <row r="434" spans="1:10">
      <c r="A434" s="567" t="str">
        <f>CO99a!B39</f>
        <v>Coop Special Education</v>
      </c>
      <c r="B434" s="584">
        <f>IF(CO99a!C39="","",CO99a!C39)</f>
        <v>0</v>
      </c>
      <c r="C434" s="576">
        <f>IF(CO99a!D39="","",CO99a!D39)</f>
        <v>0</v>
      </c>
      <c r="D434" s="576">
        <f>IF(CO99a!E39="","",CO99a!E39)</f>
        <v>0</v>
      </c>
      <c r="E434" s="576">
        <f>IF(CO99a!F39="","",CO99a!F39)</f>
        <v>0</v>
      </c>
      <c r="F434" s="584">
        <f>IF(CO99a!G39="","",CO99a!G39)</f>
        <v>0</v>
      </c>
      <c r="G434" s="589" t="str">
        <f>IF(CO99a!H39="","",CO99a!H39)</f>
        <v/>
      </c>
      <c r="H434" s="576">
        <f>IF(CO99a!I39="","",CO99a!I39)</f>
        <v>0</v>
      </c>
      <c r="I434" s="909">
        <f>IF(CO99a!J39="","",CO99a!J39)</f>
        <v>0</v>
      </c>
      <c r="J434" s="910"/>
    </row>
    <row r="435" spans="1:10">
      <c r="A435" s="566" t="str">
        <f>CO99a!B40</f>
        <v>Federal Funds</v>
      </c>
      <c r="B435" s="579">
        <f>IF(CO99a!C40="","",CO99a!C40)</f>
        <v>62800</v>
      </c>
      <c r="C435" s="579">
        <f>IF(CO99a!D40="","",CO99a!D40)</f>
        <v>25769</v>
      </c>
      <c r="D435" s="580" t="str">
        <f>IF(CO99a!E40="","",CO99a!E40)</f>
        <v/>
      </c>
      <c r="E435" s="586">
        <f>IF(CO99a!F40="","",CO99a!F40)</f>
        <v>37031</v>
      </c>
      <c r="F435" s="580" t="str">
        <f>IF(CO99a!G40="","",CO99a!G40)</f>
        <v/>
      </c>
      <c r="G435" s="580" t="str">
        <f>IF(CO99a!H40="","",CO99a!H40)</f>
        <v/>
      </c>
      <c r="H435" s="580" t="str">
        <f>IF(CO99a!I40="","",CO99a!I40)</f>
        <v/>
      </c>
      <c r="I435" s="907">
        <f>IF(CO99a!J40="","",CO99a!J40)</f>
        <v>0</v>
      </c>
      <c r="J435" s="908"/>
    </row>
    <row r="436" spans="1:10">
      <c r="A436" s="567" t="str">
        <f>CO99a!B41</f>
        <v>Cost of Living</v>
      </c>
      <c r="B436" s="576">
        <f>IF(CO99a!C41="","",CO99a!C41)</f>
        <v>0</v>
      </c>
      <c r="C436" s="590">
        <f>IF(CO99a!D41="","",CO99a!D41)</f>
        <v>0</v>
      </c>
      <c r="D436" s="577" t="str">
        <f>IF(CO99a!E41="","",CO99a!E41)</f>
        <v/>
      </c>
      <c r="E436" s="577" t="str">
        <f>IF(CO99a!F41="","",CO99a!F41)</f>
        <v/>
      </c>
      <c r="F436" s="577" t="str">
        <f>IF(CO99a!G41="","",CO99a!G41)</f>
        <v/>
      </c>
      <c r="G436" s="591">
        <f>IF(CO99a!H41="","",CO99a!H41)</f>
        <v>0</v>
      </c>
      <c r="H436" s="576">
        <f>IF(CO99a!I41="","",CO99a!I41)</f>
        <v>0</v>
      </c>
      <c r="I436" s="909" t="str">
        <f>IF(CO99a!J41="","",CO99a!J41)</f>
        <v/>
      </c>
      <c r="J436" s="910"/>
    </row>
    <row r="437" spans="1:10">
      <c r="A437" s="572" t="str">
        <f>CO99a!B42</f>
        <v>SUBTOTAL</v>
      </c>
      <c r="B437" s="592">
        <f>IF(CO99a!C42="","",CO99a!C42)</f>
        <v>3185668</v>
      </c>
      <c r="C437" s="592">
        <f>IF(CO99a!D42="","",CO99a!D42)</f>
        <v>1317345</v>
      </c>
      <c r="D437" s="593">
        <f>IF(CO99a!E42="","",CO99a!E42)</f>
        <v>1325043</v>
      </c>
      <c r="E437" s="593">
        <f>IF(CO99a!F42="","",CO99a!F42)</f>
        <v>74578</v>
      </c>
      <c r="F437" s="593">
        <f>IF(CO99a!G42="","",CO99a!G42)</f>
        <v>0</v>
      </c>
      <c r="G437" s="592">
        <f>IF(CO99a!H42="","",CO99a!H42)</f>
        <v>380264</v>
      </c>
      <c r="H437" s="592">
        <f>IF(CO99a!I42="","",CO99a!I42)</f>
        <v>838980</v>
      </c>
      <c r="I437" s="913">
        <f>IF(CO99a!J42="","",CO99a!J42)</f>
        <v>750542</v>
      </c>
      <c r="J437" s="914"/>
    </row>
    <row r="438" spans="1:10" ht="15.75" thickBot="1">
      <c r="A438" s="573" t="str">
        <f>CO99a!B43</f>
        <v>Less Transfers</v>
      </c>
      <c r="B438" s="594">
        <f>IF(CO99a!C43="","",CO99a!C43)</f>
        <v>380264</v>
      </c>
      <c r="C438" s="595"/>
      <c r="D438" s="596"/>
      <c r="E438" s="596"/>
      <c r="F438" s="596"/>
      <c r="G438" s="596"/>
      <c r="H438" s="596"/>
      <c r="I438" s="596"/>
      <c r="J438" s="597"/>
    </row>
    <row r="439" spans="1:10" ht="15.75" thickTop="1">
      <c r="A439" s="574" t="str">
        <f>CO99a!B44</f>
        <v>TOTAL Budget Expenditures</v>
      </c>
      <c r="B439" s="598">
        <f>IF(CO99a!C44="","",CO99a!C44)</f>
        <v>2805404</v>
      </c>
      <c r="C439" s="599"/>
      <c r="D439" s="600"/>
      <c r="E439" s="600"/>
      <c r="F439" s="600"/>
      <c r="G439" s="600"/>
      <c r="H439" s="600"/>
      <c r="I439" s="600"/>
      <c r="J439" s="601"/>
    </row>
    <row r="440" spans="1:10">
      <c r="A440" s="601"/>
      <c r="B440" s="621"/>
      <c r="C440" s="600"/>
      <c r="D440" s="600"/>
      <c r="E440" s="600"/>
      <c r="F440" s="600"/>
      <c r="G440" s="600"/>
      <c r="H440" s="600"/>
      <c r="I440" s="600"/>
      <c r="J440" s="601"/>
    </row>
    <row r="441" spans="1:10">
      <c r="A441" s="601"/>
      <c r="B441" s="621"/>
      <c r="C441" s="600"/>
      <c r="D441" s="600"/>
      <c r="E441" s="600"/>
      <c r="F441" s="600"/>
      <c r="G441" s="600"/>
      <c r="H441" s="600"/>
      <c r="I441" s="600"/>
      <c r="J441" s="601"/>
    </row>
    <row r="443" spans="1:10" ht="18">
      <c r="A443" s="881" t="str">
        <f>CO99a!C46</f>
        <v>Sources of  Revenue</v>
      </c>
      <c r="B443" s="881"/>
      <c r="C443" s="881"/>
      <c r="D443" s="881"/>
      <c r="E443" s="881"/>
      <c r="F443" s="881"/>
      <c r="G443" s="881"/>
      <c r="H443" s="881"/>
      <c r="I443" s="881"/>
      <c r="J443" s="881"/>
    </row>
    <row r="444" spans="1:10" ht="6.75" customHeight="1"/>
    <row r="445" spans="1:10">
      <c r="A445" s="5"/>
      <c r="B445" s="5"/>
      <c r="C445" s="5"/>
      <c r="D445" s="132" t="str">
        <f>CO99a!E48</f>
        <v>2023-2024</v>
      </c>
      <c r="E445" s="133" t="str">
        <f>CO99a!F48</f>
        <v>2024-2025</v>
      </c>
      <c r="F445" s="132" t="str">
        <f>CO99a!G48</f>
        <v>2025-2026</v>
      </c>
      <c r="G445" s="5"/>
      <c r="H445" s="5"/>
      <c r="I445" s="5"/>
      <c r="J445" s="5"/>
    </row>
    <row r="446" spans="1:10">
      <c r="A446" s="5"/>
      <c r="B446" s="873" t="str">
        <f>CO99a!C49</f>
        <v>State Revenues</v>
      </c>
      <c r="C446" s="874">
        <f>CO99a!D49</f>
        <v>0</v>
      </c>
      <c r="D446" s="134">
        <f>CO99a!E49</f>
        <v>1322126</v>
      </c>
      <c r="E446" s="135">
        <f>CO99a!F49</f>
        <v>1248614</v>
      </c>
      <c r="F446" s="135">
        <f>CO99a!G49</f>
        <v>1325043</v>
      </c>
      <c r="G446" s="136"/>
      <c r="H446" s="5"/>
      <c r="I446" s="5"/>
      <c r="J446" s="5"/>
    </row>
    <row r="447" spans="1:10">
      <c r="A447" s="5"/>
      <c r="B447" s="875" t="str">
        <f>CO99a!C50</f>
        <v>Federal Revenues</v>
      </c>
      <c r="C447" s="876">
        <f>CO99a!D50</f>
        <v>0</v>
      </c>
      <c r="D447" s="64">
        <f>CO99a!E50</f>
        <v>146424</v>
      </c>
      <c r="E447" s="64">
        <f>CO99a!F50</f>
        <v>81017</v>
      </c>
      <c r="F447" s="64">
        <f>CO99a!G50</f>
        <v>74578</v>
      </c>
      <c r="G447" s="130"/>
      <c r="H447" s="5"/>
      <c r="I447" s="5"/>
      <c r="J447" s="5"/>
    </row>
    <row r="448" spans="1:10" ht="15.75" thickBot="1">
      <c r="A448" s="5"/>
      <c r="B448" s="877" t="str">
        <f>CO99a!C51</f>
        <v>Local Revenues¹</v>
      </c>
      <c r="C448" s="878">
        <f>CO99a!D51</f>
        <v>0</v>
      </c>
      <c r="D448" s="137">
        <f>CO99a!E51</f>
        <v>908997</v>
      </c>
      <c r="E448" s="137">
        <f>CO99a!F51</f>
        <v>1038557</v>
      </c>
      <c r="F448" s="137">
        <f>CO99a!G51</f>
        <v>838980</v>
      </c>
      <c r="G448" s="5"/>
      <c r="H448" s="58"/>
      <c r="I448" s="5"/>
      <c r="J448" s="5"/>
    </row>
    <row r="449" spans="1:10" ht="15.75" thickTop="1">
      <c r="A449" s="136"/>
      <c r="B449" s="879" t="str">
        <f>CO99a!C52</f>
        <v>Total Revenues</v>
      </c>
      <c r="C449" s="880">
        <f>CO99a!D52</f>
        <v>0</v>
      </c>
      <c r="D449" s="138">
        <f>CO99a!E52</f>
        <v>2377547</v>
      </c>
      <c r="E449" s="138">
        <f>CO99a!F52</f>
        <v>2368188</v>
      </c>
      <c r="F449" s="138">
        <f>CO99a!G52</f>
        <v>2238601</v>
      </c>
      <c r="G449" s="5"/>
      <c r="H449" s="5"/>
      <c r="I449" s="5"/>
      <c r="J449" s="136"/>
    </row>
    <row r="450" spans="1:10">
      <c r="A450" s="5"/>
      <c r="B450" s="875" t="str">
        <f>CO99a!C53</f>
        <v>Revenues Per Pupil</v>
      </c>
      <c r="C450" s="876">
        <f>CO99a!D53</f>
        <v>0</v>
      </c>
      <c r="D450" s="64">
        <f>CO99a!E53</f>
        <v>33629</v>
      </c>
      <c r="E450" s="64">
        <f>CO99a!F53</f>
        <v>28705</v>
      </c>
      <c r="F450" s="64">
        <f>CO99a!G53</f>
        <v>31980</v>
      </c>
      <c r="G450" s="5"/>
      <c r="H450" s="5"/>
      <c r="I450" s="5"/>
      <c r="J450" s="5"/>
    </row>
    <row r="451" spans="1:10" ht="6.75" customHeight="1">
      <c r="A451" s="5"/>
      <c r="B451" s="5"/>
      <c r="C451" s="130"/>
      <c r="D451" s="27"/>
      <c r="E451" s="27"/>
      <c r="F451" s="27"/>
      <c r="G451" s="5"/>
      <c r="H451" s="5"/>
      <c r="I451" s="5"/>
      <c r="J451" s="5"/>
    </row>
    <row r="452" spans="1:10">
      <c r="A452" s="5"/>
      <c r="B452" s="866" t="str">
        <f>CO99a!C55</f>
        <v>1.  Excludes "Transfers" to avoid duplication of revenue.</v>
      </c>
      <c r="C452" s="866">
        <f>CO99a!D55</f>
        <v>0</v>
      </c>
      <c r="D452" s="866">
        <f>CO99a!E55</f>
        <v>0</v>
      </c>
      <c r="E452" s="866">
        <f>CO99a!F55</f>
        <v>0</v>
      </c>
      <c r="F452" s="866">
        <f>CO99a!G55</f>
        <v>0</v>
      </c>
      <c r="G452" s="5"/>
      <c r="H452" s="5"/>
      <c r="I452" s="5"/>
      <c r="J452" s="5"/>
    </row>
    <row r="453" spans="1:10" ht="6.75" customHeight="1">
      <c r="A453" s="80"/>
      <c r="B453" s="80"/>
      <c r="C453" s="80"/>
      <c r="D453" s="80"/>
      <c r="E453" s="80"/>
      <c r="F453" s="80"/>
      <c r="G453" s="80"/>
      <c r="H453" s="80"/>
      <c r="I453" s="80"/>
      <c r="J453" s="80"/>
    </row>
    <row r="454" spans="1:10" ht="32.25" customHeight="1">
      <c r="A454" s="870" t="str">
        <f>CO99a!B57</f>
        <v>Note: Effective July 1, 2014 (2014-2015 school year) KSA 72-5142 states proceeds from the Ad Valorem taxes levied for the General Fund shall be remitted to the State Treasurer.  Such remittance shall be redistributed as State Foundation (General State) Aid.</v>
      </c>
      <c r="B454" s="870"/>
      <c r="C454" s="870"/>
      <c r="D454" s="870"/>
      <c r="E454" s="870"/>
      <c r="F454" s="870"/>
      <c r="G454" s="870"/>
      <c r="H454" s="870"/>
      <c r="I454" s="870"/>
      <c r="J454" s="870"/>
    </row>
    <row r="455" spans="1:10">
      <c r="A455" s="5"/>
      <c r="B455" s="5"/>
      <c r="C455" s="5"/>
      <c r="D455" s="575"/>
      <c r="E455" s="575"/>
      <c r="F455" s="575"/>
      <c r="G455" s="5"/>
      <c r="H455" s="5"/>
      <c r="I455" s="5"/>
      <c r="J455" s="5"/>
    </row>
    <row r="459" spans="1:10" ht="9.9499999999999993" customHeight="1"/>
    <row r="460" spans="1:10" ht="18">
      <c r="A460" s="906" t="s">
        <v>211</v>
      </c>
      <c r="B460" s="906"/>
      <c r="C460" s="906"/>
      <c r="D460" s="906"/>
      <c r="E460" s="906"/>
      <c r="F460" s="906"/>
      <c r="G460" s="906"/>
      <c r="H460" s="906"/>
      <c r="I460" s="906"/>
      <c r="J460" s="906"/>
    </row>
    <row r="462" spans="1:10">
      <c r="A462" s="2"/>
      <c r="B462" s="505" t="str">
        <f>SUMEXPEN!$D$1309</f>
        <v>2021-2022</v>
      </c>
      <c r="C462" s="505" t="str">
        <f>SUMEXPEN!$E$1309</f>
        <v>2022-2023</v>
      </c>
      <c r="D462" s="216" t="s">
        <v>2</v>
      </c>
      <c r="E462" s="505" t="str">
        <f>SUMEXPEN!$G$1309</f>
        <v>2023-2024</v>
      </c>
      <c r="F462" s="216" t="s">
        <v>2</v>
      </c>
      <c r="G462" s="505" t="str">
        <f>SUMEXPEN!$I$1309</f>
        <v>2024-2025</v>
      </c>
      <c r="H462" s="216" t="s">
        <v>2</v>
      </c>
      <c r="I462" s="505" t="str">
        <f>SUMEXPEN!$K$1309</f>
        <v>2025-2026</v>
      </c>
      <c r="J462" s="216" t="s">
        <v>2</v>
      </c>
    </row>
    <row r="463" spans="1:10">
      <c r="A463" s="2"/>
      <c r="B463" s="453" t="s">
        <v>5</v>
      </c>
      <c r="C463" s="453" t="s">
        <v>5</v>
      </c>
      <c r="D463" s="454" t="s">
        <v>144</v>
      </c>
      <c r="E463" s="453" t="s">
        <v>5</v>
      </c>
      <c r="F463" s="454" t="s">
        <v>144</v>
      </c>
      <c r="G463" s="453" t="s">
        <v>5</v>
      </c>
      <c r="H463" s="454" t="s">
        <v>144</v>
      </c>
      <c r="I463" s="453" t="s">
        <v>6</v>
      </c>
      <c r="J463" s="454" t="s">
        <v>144</v>
      </c>
    </row>
    <row r="464" spans="1:10">
      <c r="A464" s="223" t="str">
        <f>SUMEXPEN!$B$1311</f>
        <v>FTE Enrollment (excl. Virtual)¹</v>
      </c>
      <c r="B464" s="506">
        <f>SUMEXPEN!$D$1311</f>
        <v>99</v>
      </c>
      <c r="C464" s="506">
        <f>SUMEXPEN!$E$1311</f>
        <v>67.5</v>
      </c>
      <c r="D464" s="507">
        <f>IF(B464=0,0,((C464-B464)/B464))</f>
        <v>-0.32</v>
      </c>
      <c r="E464" s="506">
        <f>SUMEXPEN!$G$1311</f>
        <v>70.7</v>
      </c>
      <c r="F464" s="507">
        <f>IF(C464=0,0,((E464-C464)/C464))</f>
        <v>0.05</v>
      </c>
      <c r="G464" s="506">
        <f>SUMEXPEN!$I$1311</f>
        <v>82.5</v>
      </c>
      <c r="H464" s="507">
        <f>IF(E464=0,0,((G464-E464)/E464))</f>
        <v>0.17</v>
      </c>
      <c r="I464" s="508">
        <f>SUMEXPEN!$K$1311</f>
        <v>70</v>
      </c>
      <c r="J464" s="507">
        <f>IF(G464=0,0,((I464-G464)/G464))</f>
        <v>-0.15</v>
      </c>
    </row>
    <row r="465" spans="1:11">
      <c r="A465" s="1" t="s">
        <v>148</v>
      </c>
      <c r="B465" s="509">
        <f>SUMEXPEN!$D$1313</f>
        <v>40</v>
      </c>
      <c r="C465" s="509">
        <f>SUMEXPEN!$E$1313</f>
        <v>39</v>
      </c>
      <c r="D465" s="510">
        <f>IF(B465=0,0,((C465-B465)/B465))</f>
        <v>-0.03</v>
      </c>
      <c r="E465" s="509">
        <f>SUMEXPEN!$G$1313</f>
        <v>35</v>
      </c>
      <c r="F465" s="510">
        <f>IF(C465=0,0,((E465-C465)/C465))</f>
        <v>-0.1</v>
      </c>
      <c r="G465" s="509">
        <f>SUMEXPEN!$I$1313</f>
        <v>40</v>
      </c>
      <c r="H465" s="510">
        <f>IF(E465=0,0,((G465-E465)/E465))</f>
        <v>0.14000000000000001</v>
      </c>
      <c r="I465" s="509">
        <f>SUMEXPEN!$K$1313</f>
        <v>35</v>
      </c>
      <c r="J465" s="510">
        <f>IF(G465=0,0,((I465-G465)/G465))</f>
        <v>-0.13</v>
      </c>
    </row>
    <row r="466" spans="1:11">
      <c r="A466" s="223" t="s">
        <v>146</v>
      </c>
      <c r="B466" s="511">
        <f>SUMEXPEN!$D$1314</f>
        <v>25</v>
      </c>
      <c r="C466" s="511">
        <f>SUMEXPEN!$E$1314</f>
        <v>3</v>
      </c>
      <c r="D466" s="507">
        <f>IF(B466=0,0,((C466-B466)/B466))</f>
        <v>-0.88</v>
      </c>
      <c r="E466" s="511">
        <f>SUMEXPEN!$G$1314</f>
        <v>5</v>
      </c>
      <c r="F466" s="507">
        <f>IF(C466=0,0,((E466-C466)/C466))</f>
        <v>0.67</v>
      </c>
      <c r="G466" s="511">
        <f>SUMEXPEN!$I$1314</f>
        <v>10</v>
      </c>
      <c r="H466" s="507">
        <f>IF(E466=0,0,((G466-E466)/E466))</f>
        <v>1</v>
      </c>
      <c r="I466" s="511">
        <f>SUMEXPEN!$K$1314</f>
        <v>10</v>
      </c>
      <c r="J466" s="507">
        <f>IF(G466=0,0,((I466-G466)/G466))</f>
        <v>0</v>
      </c>
    </row>
    <row r="467" spans="1:11" ht="5.0999999999999996" customHeight="1"/>
    <row r="468" spans="1:11" ht="28.5" customHeight="1">
      <c r="A468" s="865" t="str">
        <f>SUMEXPEN!B1316</f>
        <v>1.  FTE Enrollment includes 9/20 and 2/20 counts, Preschool-Aged At-Risk (4 year olds).  Beginning in the 2017-2018 school year, full-day Kindergarten is funded as 1.0 FTE.
     KAMS FTE is excluded.</v>
      </c>
      <c r="B468" s="865"/>
      <c r="C468" s="865"/>
      <c r="D468" s="865"/>
      <c r="E468" s="865"/>
      <c r="F468" s="865"/>
      <c r="G468" s="865"/>
      <c r="H468" s="865"/>
      <c r="I468" s="865"/>
      <c r="J468" s="865"/>
      <c r="K468" s="553"/>
    </row>
    <row r="524" spans="1:10" ht="9.9499999999999993" customHeight="1"/>
    <row r="525" spans="1:10" ht="18">
      <c r="A525" s="881" t="str">
        <f>SUMEXPEN!$B$1372</f>
        <v>Mill Rates by Fund</v>
      </c>
      <c r="B525" s="881"/>
      <c r="C525" s="881"/>
      <c r="D525" s="881"/>
      <c r="E525" s="881"/>
      <c r="F525" s="881"/>
      <c r="G525" s="881"/>
      <c r="H525" s="881"/>
      <c r="I525" s="881"/>
      <c r="J525" s="881"/>
    </row>
    <row r="527" spans="1:10">
      <c r="A527" s="48"/>
      <c r="B527" s="464" t="str">
        <f>SUMEXPEN!D1374</f>
        <v>2023-2024</v>
      </c>
      <c r="C527" s="2"/>
      <c r="D527" s="80"/>
      <c r="E527" s="693" t="str">
        <f>SUMEXPEN!G1374</f>
        <v>2024-2025</v>
      </c>
      <c r="F527" s="694">
        <f>SUMEXPEN!H1374</f>
        <v>0</v>
      </c>
      <c r="G527" s="80"/>
      <c r="H527" s="2"/>
      <c r="I527" s="693" t="str">
        <f>SUMEXPEN!K1374</f>
        <v>2025-2026</v>
      </c>
      <c r="J527" s="694"/>
    </row>
    <row r="528" spans="1:10">
      <c r="A528" s="2"/>
      <c r="B528" s="465" t="str">
        <f>SUMEXPEN!D1375</f>
        <v>Actual</v>
      </c>
      <c r="C528" s="2"/>
      <c r="D528" s="80"/>
      <c r="E528" s="697" t="str">
        <f>SUMEXPEN!G1375</f>
        <v>Actual</v>
      </c>
      <c r="F528" s="698">
        <f>SUMEXPEN!H1375</f>
        <v>0</v>
      </c>
      <c r="G528" s="80"/>
      <c r="H528" s="2"/>
      <c r="I528" s="697" t="str">
        <f>SUMEXPEN!K1375</f>
        <v>Budget</v>
      </c>
      <c r="J528" s="698"/>
    </row>
    <row r="529" spans="1:10">
      <c r="A529" s="466" t="str">
        <f>SUMEXPEN!B1376</f>
        <v>General</v>
      </c>
      <c r="B529" s="537">
        <f>SUMEXPEN!D1376</f>
        <v>20</v>
      </c>
      <c r="C529" s="2"/>
      <c r="D529" s="80"/>
      <c r="E529" s="695">
        <f>SUMEXPEN!G1376</f>
        <v>20</v>
      </c>
      <c r="F529" s="696">
        <f>SUMEXPEN!H1376</f>
        <v>0</v>
      </c>
      <c r="G529" s="80"/>
      <c r="H529" s="2"/>
      <c r="I529" s="695">
        <f>SUMEXPEN!K1376</f>
        <v>20</v>
      </c>
      <c r="J529" s="696"/>
    </row>
    <row r="530" spans="1:10">
      <c r="A530" s="49" t="str">
        <f>SUMEXPEN!B1377</f>
        <v>Supplemental General</v>
      </c>
      <c r="B530" s="538">
        <f>SUMEXPEN!D1377</f>
        <v>19.545000000000002</v>
      </c>
      <c r="C530" s="2"/>
      <c r="D530" s="80"/>
      <c r="E530" s="699">
        <f>SUMEXPEN!G1377</f>
        <v>18.940999999999999</v>
      </c>
      <c r="F530" s="700">
        <f>SUMEXPEN!H1377</f>
        <v>0</v>
      </c>
      <c r="G530" s="80"/>
      <c r="H530" s="2"/>
      <c r="I530" s="699">
        <f>SUMEXPEN!K1377</f>
        <v>23.21</v>
      </c>
      <c r="J530" s="700"/>
    </row>
    <row r="531" spans="1:10">
      <c r="A531" s="466" t="str">
        <f>SUMEXPEN!B1378</f>
        <v>Adult Education</v>
      </c>
      <c r="B531" s="537">
        <f>SUMEXPEN!D1378</f>
        <v>0</v>
      </c>
      <c r="C531" s="2"/>
      <c r="D531" s="80"/>
      <c r="E531" s="695">
        <f>SUMEXPEN!G1378</f>
        <v>0</v>
      </c>
      <c r="F531" s="696">
        <f>SUMEXPEN!H1378</f>
        <v>0</v>
      </c>
      <c r="G531" s="80"/>
      <c r="H531" s="2"/>
      <c r="I531" s="695">
        <f>SUMEXPEN!K1378</f>
        <v>0</v>
      </c>
      <c r="J531" s="696"/>
    </row>
    <row r="532" spans="1:10">
      <c r="A532" s="49" t="str">
        <f>SUMEXPEN!B1379</f>
        <v>Capital Outlay</v>
      </c>
      <c r="B532" s="538">
        <f>SUMEXPEN!D1379</f>
        <v>7.4589999999999996</v>
      </c>
      <c r="C532" s="2"/>
      <c r="D532" s="80"/>
      <c r="E532" s="699">
        <f>SUMEXPEN!G1379</f>
        <v>7.9829999999999997</v>
      </c>
      <c r="F532" s="700">
        <f>SUMEXPEN!H1379</f>
        <v>0</v>
      </c>
      <c r="G532" s="80"/>
      <c r="H532" s="2"/>
      <c r="I532" s="699">
        <f>SUMEXPEN!K1379</f>
        <v>8</v>
      </c>
      <c r="J532" s="700"/>
    </row>
    <row r="533" spans="1:10">
      <c r="A533" s="466" t="str">
        <f>SUMEXPEN!B1380</f>
        <v>Declining Enrollment</v>
      </c>
      <c r="B533" s="537">
        <f>SUMEXPEN!D1380</f>
        <v>0</v>
      </c>
      <c r="C533" s="2"/>
      <c r="D533" s="80"/>
      <c r="E533" s="695">
        <f>SUMEXPEN!G1380</f>
        <v>0</v>
      </c>
      <c r="F533" s="696">
        <f>SUMEXPEN!H1380</f>
        <v>0</v>
      </c>
      <c r="G533" s="80"/>
      <c r="H533" s="2"/>
      <c r="I533" s="695">
        <f>SUMEXPEN!K1380</f>
        <v>0</v>
      </c>
      <c r="J533" s="696"/>
    </row>
    <row r="534" spans="1:10">
      <c r="A534" s="49" t="str">
        <f>SUMEXPEN!B1381</f>
        <v>Cost of Living</v>
      </c>
      <c r="B534" s="538">
        <f>SUMEXPEN!D1381</f>
        <v>0</v>
      </c>
      <c r="C534" s="2"/>
      <c r="D534" s="80"/>
      <c r="E534" s="699">
        <f>SUMEXPEN!G1381</f>
        <v>0</v>
      </c>
      <c r="F534" s="700">
        <f>SUMEXPEN!H1381</f>
        <v>0</v>
      </c>
      <c r="G534" s="80"/>
      <c r="H534" s="2"/>
      <c r="I534" s="699">
        <f>SUMEXPEN!K1381</f>
        <v>0</v>
      </c>
      <c r="J534" s="700"/>
    </row>
    <row r="535" spans="1:10">
      <c r="A535" s="466" t="str">
        <f>SUMEXPEN!B1382</f>
        <v xml:space="preserve">Special Liability </v>
      </c>
      <c r="B535" s="537">
        <f>SUMEXPEN!D1382</f>
        <v>0</v>
      </c>
      <c r="C535" s="2"/>
      <c r="D535" s="80"/>
      <c r="E535" s="695">
        <f>SUMEXPEN!G1382</f>
        <v>0</v>
      </c>
      <c r="F535" s="696">
        <f>SUMEXPEN!H1382</f>
        <v>0</v>
      </c>
      <c r="G535" s="80"/>
      <c r="H535" s="2"/>
      <c r="I535" s="695">
        <f>SUMEXPEN!K1382</f>
        <v>0</v>
      </c>
      <c r="J535" s="696"/>
    </row>
    <row r="536" spans="1:10">
      <c r="A536" s="1" t="str">
        <f>SUMEXPEN!B1383</f>
        <v>School Retirement</v>
      </c>
      <c r="B536" s="538">
        <f>SUMEXPEN!D1383</f>
        <v>0</v>
      </c>
      <c r="C536" s="2"/>
      <c r="D536" s="80"/>
      <c r="E536" s="699">
        <f>SUMEXPEN!G1383</f>
        <v>0</v>
      </c>
      <c r="F536" s="700">
        <f>SUMEXPEN!H1383</f>
        <v>0</v>
      </c>
      <c r="G536" s="80"/>
      <c r="H536" s="2"/>
      <c r="I536" s="699">
        <f>SUMEXPEN!K1383</f>
        <v>0</v>
      </c>
      <c r="J536" s="700"/>
    </row>
    <row r="537" spans="1:10">
      <c r="A537" s="223" t="str">
        <f>SUMEXPEN!B1384</f>
        <v>Extraordinary Growth Facilities</v>
      </c>
      <c r="B537" s="537">
        <f>SUMEXPEN!D1384</f>
        <v>0</v>
      </c>
      <c r="C537" s="2"/>
      <c r="D537" s="80"/>
      <c r="E537" s="695">
        <f>SUMEXPEN!G1384</f>
        <v>0</v>
      </c>
      <c r="F537" s="696">
        <f>SUMEXPEN!H1384</f>
        <v>0</v>
      </c>
      <c r="G537" s="80"/>
      <c r="H537" s="167"/>
      <c r="I537" s="695">
        <f>SUMEXPEN!K1384</f>
        <v>0</v>
      </c>
      <c r="J537" s="696"/>
    </row>
    <row r="538" spans="1:10">
      <c r="A538" s="370" t="str">
        <f>SUMEXPEN!B1385</f>
        <v>Bond and Interest #1</v>
      </c>
      <c r="B538" s="538">
        <f>SUMEXPEN!D1385</f>
        <v>9.0280000000000005</v>
      </c>
      <c r="C538" s="2"/>
      <c r="D538" s="80"/>
      <c r="E538" s="699">
        <f>SUMEXPEN!G1385</f>
        <v>8.98</v>
      </c>
      <c r="F538" s="700">
        <f>SUMEXPEN!H1385</f>
        <v>0</v>
      </c>
      <c r="G538" s="80"/>
      <c r="H538" s="2"/>
      <c r="I538" s="699">
        <f>SUMEXPEN!K1385</f>
        <v>8.5180000000000007</v>
      </c>
      <c r="J538" s="700"/>
    </row>
    <row r="539" spans="1:10">
      <c r="A539" s="469" t="str">
        <f>SUMEXPEN!B1386</f>
        <v>Bond and Interest #2</v>
      </c>
      <c r="B539" s="537">
        <f>SUMEXPEN!D1386</f>
        <v>0</v>
      </c>
      <c r="C539" s="2"/>
      <c r="D539" s="80"/>
      <c r="E539" s="695">
        <f>SUMEXPEN!G1386</f>
        <v>0</v>
      </c>
      <c r="F539" s="696">
        <f>SUMEXPEN!H1386</f>
        <v>0</v>
      </c>
      <c r="G539" s="80"/>
      <c r="H539" s="2"/>
      <c r="I539" s="695">
        <f>SUMEXPEN!K1386</f>
        <v>0</v>
      </c>
      <c r="J539" s="696"/>
    </row>
    <row r="540" spans="1:10">
      <c r="A540" s="1" t="str">
        <f>SUMEXPEN!B1387</f>
        <v>No Fund Warrant</v>
      </c>
      <c r="B540" s="538">
        <f>SUMEXPEN!D1387</f>
        <v>0</v>
      </c>
      <c r="C540" s="2"/>
      <c r="D540" s="80"/>
      <c r="E540" s="699">
        <f>SUMEXPEN!G1387</f>
        <v>0</v>
      </c>
      <c r="F540" s="700">
        <f>SUMEXPEN!H1387</f>
        <v>0</v>
      </c>
      <c r="G540" s="80"/>
      <c r="H540" s="2"/>
      <c r="I540" s="699">
        <f>SUMEXPEN!K1387</f>
        <v>0</v>
      </c>
      <c r="J540" s="700"/>
    </row>
    <row r="541" spans="1:10">
      <c r="A541" s="223" t="str">
        <f>SUMEXPEN!B1388</f>
        <v>Special Assessment</v>
      </c>
      <c r="B541" s="537">
        <f>SUMEXPEN!D1388</f>
        <v>0</v>
      </c>
      <c r="C541" s="2"/>
      <c r="D541" s="80"/>
      <c r="E541" s="695">
        <f>SUMEXPEN!G1388</f>
        <v>0</v>
      </c>
      <c r="F541" s="696">
        <f>SUMEXPEN!H1388</f>
        <v>0</v>
      </c>
      <c r="G541" s="80"/>
      <c r="H541" s="2"/>
      <c r="I541" s="695">
        <f>SUMEXPEN!K1388</f>
        <v>0</v>
      </c>
      <c r="J541" s="696"/>
    </row>
    <row r="542" spans="1:10" ht="15.75" thickBot="1">
      <c r="A542" s="45" t="str">
        <f>SUMEXPEN!B1389</f>
        <v>Temporary Note</v>
      </c>
      <c r="B542" s="539">
        <f>SUMEXPEN!D1389</f>
        <v>0</v>
      </c>
      <c r="C542" s="2"/>
      <c r="D542" s="80"/>
      <c r="E542" s="861">
        <f>SUMEXPEN!G1389</f>
        <v>0</v>
      </c>
      <c r="F542" s="862">
        <f>SUMEXPEN!H1389</f>
        <v>0</v>
      </c>
      <c r="G542" s="80"/>
      <c r="H542" s="2"/>
      <c r="I542" s="861">
        <f>SUMEXPEN!K1389</f>
        <v>0</v>
      </c>
      <c r="J542" s="862"/>
    </row>
    <row r="543" spans="1:10" ht="15.75" thickTop="1">
      <c r="A543" s="470" t="str">
        <f>SUMEXPEN!B1390</f>
        <v>TOTAL USD</v>
      </c>
      <c r="B543" s="540">
        <f>SUMEXPEN!D1390</f>
        <v>56.031999999999996</v>
      </c>
      <c r="C543" s="2"/>
      <c r="D543" s="80"/>
      <c r="E543" s="701">
        <f>SUMEXPEN!G1390</f>
        <v>55.904000000000003</v>
      </c>
      <c r="F543" s="702">
        <f>SUMEXPEN!H1390</f>
        <v>0</v>
      </c>
      <c r="G543" s="80"/>
      <c r="H543" s="2"/>
      <c r="I543" s="701">
        <f>SUMEXPEN!K1390</f>
        <v>59.728000000000002</v>
      </c>
      <c r="J543" s="702"/>
    </row>
    <row r="544" spans="1:10">
      <c r="A544" s="223" t="str">
        <f>SUMEXPEN!B1391</f>
        <v>Historical Museum</v>
      </c>
      <c r="B544" s="537">
        <f>SUMEXPEN!D1391</f>
        <v>0</v>
      </c>
      <c r="C544" s="2"/>
      <c r="D544" s="80"/>
      <c r="E544" s="695">
        <f>SUMEXPEN!G1391</f>
        <v>0</v>
      </c>
      <c r="F544" s="696">
        <f>SUMEXPEN!H1391</f>
        <v>0</v>
      </c>
      <c r="G544" s="80"/>
      <c r="H544" s="2"/>
      <c r="I544" s="695">
        <f>SUMEXPEN!K1391</f>
        <v>0</v>
      </c>
      <c r="J544" s="696"/>
    </row>
    <row r="545" spans="1:10">
      <c r="A545" s="1" t="str">
        <f>SUMEXPEN!B1392</f>
        <v>Public Library Board</v>
      </c>
      <c r="B545" s="538">
        <f>SUMEXPEN!D1392</f>
        <v>0</v>
      </c>
      <c r="C545" s="2"/>
      <c r="D545" s="80"/>
      <c r="E545" s="699">
        <f>SUMEXPEN!G1392</f>
        <v>0</v>
      </c>
      <c r="F545" s="700">
        <f>SUMEXPEN!H1392</f>
        <v>0</v>
      </c>
      <c r="G545" s="80"/>
      <c r="H545" s="2"/>
      <c r="I545" s="699">
        <f>SUMEXPEN!K1392</f>
        <v>0</v>
      </c>
      <c r="J545" s="700"/>
    </row>
    <row r="546" spans="1:10">
      <c r="A546" s="223" t="str">
        <f>SUMEXPEN!B1393</f>
        <v>Public Library Board &amp; Emp Benefits</v>
      </c>
      <c r="B546" s="537">
        <f>SUMEXPEN!D1393</f>
        <v>0</v>
      </c>
      <c r="C546" s="2"/>
      <c r="D546" s="80"/>
      <c r="E546" s="695">
        <f>SUMEXPEN!G1393</f>
        <v>0</v>
      </c>
      <c r="F546" s="696">
        <f>SUMEXPEN!H1393</f>
        <v>0</v>
      </c>
      <c r="G546" s="80"/>
      <c r="H546" s="2"/>
      <c r="I546" s="695">
        <f>SUMEXPEN!K1393</f>
        <v>0</v>
      </c>
      <c r="J546" s="696"/>
    </row>
    <row r="547" spans="1:10">
      <c r="A547" s="370" t="str">
        <f>SUMEXPEN!B1394</f>
        <v>Recreation Commission</v>
      </c>
      <c r="B547" s="538">
        <f>SUMEXPEN!D1394</f>
        <v>2.266</v>
      </c>
      <c r="C547" s="2"/>
      <c r="D547" s="80"/>
      <c r="E547" s="699">
        <f>SUMEXPEN!G1394</f>
        <v>2.3410000000000002</v>
      </c>
      <c r="F547" s="700">
        <f>SUMEXPEN!H1394</f>
        <v>0</v>
      </c>
      <c r="G547" s="80"/>
      <c r="H547" s="2"/>
      <c r="I547" s="699">
        <f>SUMEXPEN!K1394</f>
        <v>2</v>
      </c>
      <c r="J547" s="700"/>
    </row>
    <row r="548" spans="1:10" ht="15.75" thickBot="1">
      <c r="A548" s="471" t="str">
        <f>SUMEXPEN!B1395</f>
        <v>Rec Comm Employee Bnfts</v>
      </c>
      <c r="B548" s="541">
        <f>SUMEXPEN!D1395</f>
        <v>0</v>
      </c>
      <c r="C548" s="2"/>
      <c r="D548" s="80"/>
      <c r="E548" s="703">
        <f>SUMEXPEN!G1395</f>
        <v>0</v>
      </c>
      <c r="F548" s="704">
        <f>SUMEXPEN!H1395</f>
        <v>0</v>
      </c>
      <c r="G548" s="80"/>
      <c r="H548" s="2"/>
      <c r="I548" s="703">
        <f>SUMEXPEN!K1395</f>
        <v>0</v>
      </c>
      <c r="J548" s="704"/>
    </row>
    <row r="549" spans="1:10" ht="15.75" thickTop="1">
      <c r="A549" s="470" t="str">
        <f>SUMEXPEN!B1396</f>
        <v>TOTAL OTHER</v>
      </c>
      <c r="B549" s="540">
        <f>SUMEXPEN!D1396</f>
        <v>2.266</v>
      </c>
      <c r="C549" s="2"/>
      <c r="D549" s="80"/>
      <c r="E549" s="701">
        <f>SUMEXPEN!G1396</f>
        <v>2.3410000000000002</v>
      </c>
      <c r="F549" s="702">
        <f>SUMEXPEN!H1396</f>
        <v>0</v>
      </c>
      <c r="G549" s="80"/>
      <c r="H549" s="2"/>
      <c r="I549" s="701">
        <f>SUMEXPEN!K1396</f>
        <v>2</v>
      </c>
      <c r="J549" s="702"/>
    </row>
    <row r="589" spans="1:10" ht="9.9499999999999993" customHeight="1"/>
    <row r="590" spans="1:10" ht="18">
      <c r="A590" s="905" t="str">
        <f>SUMEXPEN!$B$1434</f>
        <v>Other Information</v>
      </c>
      <c r="B590" s="905"/>
      <c r="C590" s="905"/>
      <c r="D590" s="905"/>
      <c r="E590" s="905"/>
      <c r="F590" s="905"/>
      <c r="G590" s="905"/>
      <c r="H590" s="905"/>
      <c r="I590" s="905"/>
      <c r="J590" s="905"/>
    </row>
    <row r="592" spans="1:10">
      <c r="A592" s="2"/>
      <c r="B592" s="474" t="str">
        <f>SUMEXPEN!D1436</f>
        <v>2023-2024</v>
      </c>
      <c r="C592" s="2"/>
      <c r="D592" s="80"/>
      <c r="E592" s="691" t="str">
        <f>SUMEXPEN!G1436</f>
        <v>2024-2025</v>
      </c>
      <c r="F592" s="692">
        <f>SUMEXPEN!H1436</f>
        <v>0</v>
      </c>
      <c r="G592" s="80"/>
      <c r="H592" s="2"/>
      <c r="I592" s="691" t="str">
        <f>SUMEXPEN!K1436</f>
        <v>2025-2026</v>
      </c>
      <c r="J592" s="692"/>
    </row>
    <row r="593" spans="1:10">
      <c r="A593" s="2"/>
      <c r="B593" s="300" t="str">
        <f>SUMEXPEN!D1437</f>
        <v>Actual</v>
      </c>
      <c r="C593" s="2"/>
      <c r="D593" s="80"/>
      <c r="E593" s="689" t="str">
        <f>SUMEXPEN!G1437</f>
        <v>Actual</v>
      </c>
      <c r="F593" s="690">
        <f>SUMEXPEN!H1437</f>
        <v>0</v>
      </c>
      <c r="G593" s="80"/>
      <c r="H593" s="2"/>
      <c r="I593" s="689" t="str">
        <f>SUMEXPEN!K1437</f>
        <v>Budget</v>
      </c>
      <c r="J593" s="690"/>
    </row>
    <row r="594" spans="1:10">
      <c r="A594" s="1" t="str">
        <f>SUMEXPEN!B1438</f>
        <v>Assessed Valuation</v>
      </c>
      <c r="B594" s="475">
        <f>SUMEXPEN!D1438</f>
        <v>18536236</v>
      </c>
      <c r="C594" s="476"/>
      <c r="D594" s="90"/>
      <c r="E594" s="687">
        <f>SUMEXPEN!G1438</f>
        <v>17978257</v>
      </c>
      <c r="F594" s="688">
        <f>SUMEXPEN!H1438</f>
        <v>0</v>
      </c>
      <c r="G594" s="383"/>
      <c r="H594" s="477"/>
      <c r="I594" s="687">
        <f>SUMEXPEN!K1438</f>
        <v>19995239</v>
      </c>
      <c r="J594" s="688"/>
    </row>
    <row r="595" spans="1:10">
      <c r="A595" s="307" t="str">
        <f>SUMEXPEN!B1439</f>
        <v>Total USD Debt</v>
      </c>
      <c r="B595" s="478">
        <f>SUMEXPEN!D1439</f>
        <v>1020000</v>
      </c>
      <c r="C595" s="479"/>
      <c r="D595" s="80"/>
      <c r="E595" s="685">
        <f>SUMEXPEN!G1439</f>
        <v>895000</v>
      </c>
      <c r="F595" s="686">
        <f>SUMEXPEN!H1439</f>
        <v>0</v>
      </c>
      <c r="G595" s="80"/>
      <c r="H595" s="2"/>
      <c r="I595" s="685">
        <f>SUMEXPEN!K1439</f>
        <v>765000</v>
      </c>
      <c r="J595" s="686"/>
    </row>
    <row r="652" spans="1:10" ht="19.5" customHeight="1"/>
    <row r="654" spans="1:10" ht="9.9499999999999993" customHeight="1"/>
    <row r="655" spans="1:10" ht="18">
      <c r="A655" s="897" t="s">
        <v>157</v>
      </c>
      <c r="B655" s="897"/>
      <c r="C655" s="897"/>
      <c r="D655" s="897"/>
      <c r="E655" s="897"/>
      <c r="F655" s="897"/>
      <c r="G655" s="897"/>
      <c r="H655" s="897"/>
      <c r="I655" s="897"/>
      <c r="J655" s="897"/>
    </row>
    <row r="657" spans="1:14">
      <c r="A657" s="513"/>
      <c r="B657" s="898" t="str">
        <f>[1]Salaries!$B$3</f>
        <v>2023-24 Actual</v>
      </c>
      <c r="C657" s="899"/>
      <c r="D657" s="900"/>
      <c r="E657" s="898" t="str">
        <f>[1]Salaries!$E$3</f>
        <v>2024-25 Actual</v>
      </c>
      <c r="F657" s="899"/>
      <c r="G657" s="900"/>
      <c r="H657" s="898" t="str">
        <f>[1]Salaries!$H$3</f>
        <v>2025-26 Contracted</v>
      </c>
      <c r="I657" s="899"/>
      <c r="J657" s="900"/>
    </row>
    <row r="658" spans="1:14" ht="26.25">
      <c r="A658" s="514"/>
      <c r="B658" s="602" t="str">
        <f>[1]Salaries!$B$4</f>
        <v>FTE</v>
      </c>
      <c r="C658" s="602" t="str">
        <f>[1]Salaries!$C$4</f>
        <v>Total Salary</v>
      </c>
      <c r="D658" s="602" t="str">
        <f>[1]Salaries!$D$4</f>
        <v>Average Salary</v>
      </c>
      <c r="E658" s="602" t="str">
        <f>[1]Salaries!$E$4</f>
        <v>FTE</v>
      </c>
      <c r="F658" s="602" t="str">
        <f>[1]Salaries!$F$4</f>
        <v>Total Salary</v>
      </c>
      <c r="G658" s="602" t="str">
        <f>[1]Salaries!$G$4</f>
        <v>Average Salary</v>
      </c>
      <c r="H658" s="602" t="str">
        <f>[1]Salaries!$H$4</f>
        <v>FTE</v>
      </c>
      <c r="I658" s="602" t="str">
        <f>[1]Salaries!$I$4</f>
        <v>Total Salary</v>
      </c>
      <c r="J658" s="602" t="str">
        <f>[1]Salaries!$J$4</f>
        <v>Average Salary</v>
      </c>
      <c r="K658" s="617"/>
      <c r="L658" s="618" t="str">
        <f>B657</f>
        <v>2023-24 Actual</v>
      </c>
      <c r="M658" s="618" t="str">
        <f>E657</f>
        <v>2024-25 Actual</v>
      </c>
      <c r="N658" s="618" t="str">
        <f>H657</f>
        <v>2025-26 Contracted</v>
      </c>
    </row>
    <row r="659" spans="1:14" ht="25.5">
      <c r="A659" s="609" t="str">
        <f>[1]Salaries!$A$5</f>
        <v>Administrators (Licensed/Non-Licensed)</v>
      </c>
      <c r="B659" s="611">
        <f>[1]Salaries!$B$5</f>
        <v>1.5</v>
      </c>
      <c r="C659" s="612">
        <f>[1]Salaries!$C$5</f>
        <v>115358</v>
      </c>
      <c r="D659" s="612">
        <f>[1]Salaries!$D$5</f>
        <v>76905</v>
      </c>
      <c r="E659" s="611">
        <f>[1]Salaries!$E$5</f>
        <v>1.5</v>
      </c>
      <c r="F659" s="612">
        <f>[1]Salaries!$F$5</f>
        <v>111000</v>
      </c>
      <c r="G659" s="612">
        <f>[1]Salaries!$G$5</f>
        <v>74000</v>
      </c>
      <c r="H659" s="611">
        <f>[1]Salaries!$H$5</f>
        <v>1.2</v>
      </c>
      <c r="I659" s="612">
        <f>[1]Salaries!$I$5</f>
        <v>108000</v>
      </c>
      <c r="J659" s="612">
        <f>[1]Salaries!$J$5</f>
        <v>90000</v>
      </c>
      <c r="K659" s="139" t="str">
        <f>IF(AND($D659&lt;=0,$G659&lt;=0,$J659&lt;=0),"",$A659)</f>
        <v>Administrators (Licensed/Non-Licensed)</v>
      </c>
      <c r="L659" s="503">
        <f>IF(AND($D659&lt;=0,$G659&lt;=0,$J659&lt;=0),#N/A,IF($D659&lt;=0,0,$D659))</f>
        <v>76905</v>
      </c>
      <c r="M659" s="503">
        <f>IF(AND($D659&lt;=0,$G659&lt;=0,$J659&lt;=0),#N/A,IF($G659&lt;=0,0,$G659))</f>
        <v>74000</v>
      </c>
      <c r="N659" s="503">
        <f>IF(AND($D659&lt;=0,$G659&lt;=0,$J659&lt;=0),#N/A,IF($J659&lt;=0,0,$J659))</f>
        <v>90000</v>
      </c>
    </row>
    <row r="660" spans="1:14">
      <c r="A660" s="610" t="str">
        <f>[1]Salaries!$A$6</f>
        <v>Teachers (Full Time)</v>
      </c>
      <c r="B660" s="613">
        <f>[1]Salaries!$B$6</f>
        <v>5</v>
      </c>
      <c r="C660" s="614">
        <f>[1]Salaries!$C$6</f>
        <v>291328</v>
      </c>
      <c r="D660" s="614">
        <f>[1]Salaries!$D$6</f>
        <v>58266</v>
      </c>
      <c r="E660" s="613">
        <f>[1]Salaries!$E$6</f>
        <v>5</v>
      </c>
      <c r="F660" s="614">
        <f>[1]Salaries!$F$6</f>
        <v>296325</v>
      </c>
      <c r="G660" s="614">
        <f>[1]Salaries!$G$6</f>
        <v>59265</v>
      </c>
      <c r="H660" s="613">
        <f>[1]Salaries!$H$6</f>
        <v>6</v>
      </c>
      <c r="I660" s="614">
        <f>[1]Salaries!$I$6</f>
        <v>347150</v>
      </c>
      <c r="J660" s="614">
        <f>[1]Salaries!$J$6</f>
        <v>57858</v>
      </c>
      <c r="K660" s="139" t="str">
        <f>IF(AND($D660&lt;=0,$G660&lt;=0,$J660&lt;=0),"",$A660)</f>
        <v>Teachers (Full Time)</v>
      </c>
      <c r="L660" s="503">
        <f t="shared" ref="L660:L662" si="11">IF(AND($D660&lt;=0,$G660&lt;=0,$J660&lt;=0),#N/A,IF($D660&lt;=0,0,$D660))</f>
        <v>58266</v>
      </c>
      <c r="M660" s="503">
        <f t="shared" ref="M660:M662" si="12">IF(AND($D660&lt;=0,$G660&lt;=0,$J660&lt;=0),#N/A,IF($G660&lt;=0,0,$G660))</f>
        <v>59265</v>
      </c>
      <c r="N660" s="503">
        <f t="shared" ref="N660:N662" si="13">IF(AND($D660&lt;=0,$G660&lt;=0,$J660&lt;=0),#N/A,IF($J660&lt;=0,0,$J660))</f>
        <v>57858</v>
      </c>
    </row>
    <row r="661" spans="1:14">
      <c r="A661" s="609" t="str">
        <f>[1]Salaries!$A$7</f>
        <v>Other Licensed Personnel</v>
      </c>
      <c r="B661" s="611">
        <f>[1]Salaries!$B$7</f>
        <v>1</v>
      </c>
      <c r="C661" s="612">
        <f>[1]Salaries!$C$7</f>
        <v>20873</v>
      </c>
      <c r="D661" s="612">
        <f>[1]Salaries!$D$7</f>
        <v>20873</v>
      </c>
      <c r="E661" s="611">
        <f>[1]Salaries!$E$7</f>
        <v>1</v>
      </c>
      <c r="F661" s="612">
        <f>[1]Salaries!$F$7</f>
        <v>26000</v>
      </c>
      <c r="G661" s="612">
        <f>[1]Salaries!$G$7</f>
        <v>26000</v>
      </c>
      <c r="H661" s="611">
        <f>[1]Salaries!$H$7</f>
        <v>1</v>
      </c>
      <c r="I661" s="612">
        <f>[1]Salaries!$I$7</f>
        <v>7200</v>
      </c>
      <c r="J661" s="612">
        <f>[1]Salaries!$J$7</f>
        <v>7200</v>
      </c>
      <c r="K661" s="139" t="str">
        <f>IF(AND($D661&lt;=0,$G661&lt;=0,$J661&lt;=0),"",$A661)</f>
        <v>Other Licensed Personnel</v>
      </c>
      <c r="L661" s="503">
        <f t="shared" si="11"/>
        <v>20873</v>
      </c>
      <c r="M661" s="503">
        <f t="shared" si="12"/>
        <v>26000</v>
      </c>
      <c r="N661" s="503">
        <f t="shared" si="13"/>
        <v>7200</v>
      </c>
    </row>
    <row r="662" spans="1:14">
      <c r="A662" s="610" t="str">
        <f>[1]Salaries!$A$8</f>
        <v>Classified Personnel</v>
      </c>
      <c r="B662" s="613">
        <f>[1]Salaries!$B$8</f>
        <v>10</v>
      </c>
      <c r="C662" s="614">
        <f>[1]Salaries!$C$8</f>
        <v>251164</v>
      </c>
      <c r="D662" s="614">
        <f>[1]Salaries!$D$8</f>
        <v>25116</v>
      </c>
      <c r="E662" s="613">
        <f>[1]Salaries!$E$8</f>
        <v>10</v>
      </c>
      <c r="F662" s="614">
        <f>[1]Salaries!$F$8</f>
        <v>324108</v>
      </c>
      <c r="G662" s="614">
        <f>[1]Salaries!$G$8</f>
        <v>32411</v>
      </c>
      <c r="H662" s="613">
        <f>[1]Salaries!$H$8</f>
        <v>11</v>
      </c>
      <c r="I662" s="614">
        <f>[1]Salaries!$I$8</f>
        <v>320600</v>
      </c>
      <c r="J662" s="614">
        <f>[1]Salaries!$J$8</f>
        <v>29145</v>
      </c>
      <c r="K662" s="139" t="str">
        <f>IF(AND($D662&lt;=0,$G662&lt;=0,$J662&lt;=0),"",$A662)</f>
        <v>Classified Personnel</v>
      </c>
      <c r="L662" s="503">
        <f t="shared" si="11"/>
        <v>25116</v>
      </c>
      <c r="M662" s="503">
        <f t="shared" si="12"/>
        <v>32411</v>
      </c>
      <c r="N662" s="503">
        <f t="shared" si="13"/>
        <v>29145</v>
      </c>
    </row>
    <row r="663" spans="1:14">
      <c r="A663" s="609" t="str">
        <f>[1]Salaries!$A$9</f>
        <v>Substitutes/Temporary Help</v>
      </c>
      <c r="B663" s="615" t="str">
        <f>[1]Salaries!$B$9</f>
        <v>~~~~~~</v>
      </c>
      <c r="C663" s="612">
        <f>[1]Salaries!$C$9</f>
        <v>3102</v>
      </c>
      <c r="D663" s="615" t="str">
        <f>[1]Salaries!$D$9</f>
        <v>~~~~~~</v>
      </c>
      <c r="E663" s="615" t="str">
        <f>[1]Salaries!$E$9</f>
        <v>~~~~~~</v>
      </c>
      <c r="F663" s="612">
        <f>[1]Salaries!$F$9</f>
        <v>5000</v>
      </c>
      <c r="G663" s="615" t="str">
        <f>[1]Salaries!$G$9</f>
        <v>~~~~~~</v>
      </c>
      <c r="H663" s="615" t="str">
        <f>[1]Salaries!$H$9</f>
        <v>~~~~~~</v>
      </c>
      <c r="I663" s="612">
        <f>[1]Salaries!$I$9</f>
        <v>5500</v>
      </c>
      <c r="J663" s="615" t="str">
        <f>[1]Salaries!$J$9</f>
        <v>~~~~~~</v>
      </c>
    </row>
    <row r="664" spans="1:14" ht="5.0999999999999996" customHeight="1"/>
    <row r="665" spans="1:14" ht="15.75" thickBot="1">
      <c r="A665" s="603" t="str">
        <f>[1]Salaries!A26</f>
        <v>Administrators:</v>
      </c>
      <c r="B665" s="604"/>
      <c r="C665" s="604"/>
      <c r="D665" s="604"/>
      <c r="E665" s="604"/>
      <c r="F665" s="604"/>
      <c r="G665" s="604"/>
      <c r="H665" s="604"/>
      <c r="I665" s="604"/>
      <c r="J665" s="604"/>
    </row>
    <row r="666" spans="1:14" ht="30.75" customHeight="1">
      <c r="A666" s="901" t="str">
        <f>[1]Salaries!A26</f>
        <v>Administrators:</v>
      </c>
      <c r="B666" s="903" t="str">
        <f>[1]Salaries!B26</f>
        <v>*Licensed Personnel - Superintendent; Assistant Superintendent; Administrative Assistants; Principals/ Assistant Principals; Directors/Supervisors Special Education; Directors/Supervisors of Health; Directors/Supervisors of VocEd; Instructional Coordinators/Supervisors; All Other Directors/Supervisors.</v>
      </c>
      <c r="C666" s="903"/>
      <c r="D666" s="903"/>
      <c r="E666" s="903"/>
      <c r="F666" s="903"/>
      <c r="G666" s="903"/>
      <c r="H666" s="903"/>
      <c r="I666" s="903"/>
      <c r="J666" s="903"/>
    </row>
    <row r="667" spans="1:14" ht="39.75" customHeight="1" thickBot="1">
      <c r="A667" s="902"/>
      <c r="B667" s="904" t="str">
        <f>[1]Salaries!B27</f>
        <v>** Non-Licensed Personnel - Assistant Superintendents; Business Managers; Business Services (Directors/Coordinators/Supervisors); Food Service (Directors/Coordinators/Supervisors); Transportation (Directors/Coordinators/Supervisors); Custodial Maintenance (Directors/Coordinators/Supervisors); Other (Directors/Coordinators/Supervisors).</v>
      </c>
      <c r="C667" s="904"/>
      <c r="D667" s="904"/>
      <c r="E667" s="904"/>
      <c r="F667" s="904"/>
      <c r="G667" s="904"/>
      <c r="H667" s="904"/>
      <c r="I667" s="904"/>
      <c r="J667" s="904"/>
    </row>
    <row r="668" spans="1:14" ht="32.25" customHeight="1" thickBot="1">
      <c r="A668" s="605" t="str">
        <f>[1]Salaries!A28</f>
        <v>Teachers (Full Time Only):</v>
      </c>
      <c r="B668" s="895" t="str">
        <f>[1]Salaries!B28</f>
        <v>*Practical Arts/Vocational Teachers; Special Education Teachers; Prekindergarten Teachers; Kindergarten Teachers; Reading Specialists/Teachers; All Other Teachers.</v>
      </c>
      <c r="C668" s="895"/>
      <c r="D668" s="895"/>
      <c r="E668" s="895"/>
      <c r="F668" s="895"/>
      <c r="G668" s="895"/>
      <c r="H668" s="895"/>
      <c r="I668" s="895"/>
      <c r="J668" s="895"/>
    </row>
    <row r="669" spans="1:14" ht="27" customHeight="1" thickBot="1">
      <c r="A669" s="605" t="str">
        <f>[1]Salaries!A29</f>
        <v>Other Certified (Licensed) Personnel:</v>
      </c>
      <c r="B669" s="895" t="str">
        <f>[1]Salaries!B29</f>
        <v>Part-Time Teachers; Library Media Specialists; School Counselors; Clinical or School Psychologists; Speech Pathologists; Audiologists; Nurses (RN); Social Workers.</v>
      </c>
      <c r="C669" s="895"/>
      <c r="D669" s="895"/>
      <c r="E669" s="895"/>
      <c r="F669" s="895"/>
      <c r="G669" s="895"/>
      <c r="H669" s="895"/>
      <c r="I669" s="895"/>
      <c r="J669" s="895"/>
    </row>
    <row r="670" spans="1:14" ht="33" customHeight="1" thickBot="1">
      <c r="A670" s="606" t="str">
        <f>[1]Salaries!A30</f>
        <v>Classified Personnel:</v>
      </c>
      <c r="B670" s="896" t="str">
        <f>[1]Salaries!B30</f>
        <v>**Attendance Services Staff; Library Media Aides; Security Officers; Regular Education Teacher Aides; Secretarial/Clerical; Special Education Paraprofessionals; Nurses (LPN); Food Service Workers; Custodians; Bus Drivers.</v>
      </c>
      <c r="C670" s="896"/>
      <c r="D670" s="896"/>
      <c r="E670" s="896"/>
      <c r="F670" s="896"/>
      <c r="G670" s="896"/>
      <c r="H670" s="896"/>
      <c r="I670" s="896"/>
      <c r="J670" s="896"/>
    </row>
    <row r="671" spans="1:14" ht="21" customHeight="1" thickBot="1">
      <c r="A671" s="616" t="str">
        <f>[1]Salaries!A31</f>
        <v>Substitutes/Temporary:</v>
      </c>
      <c r="B671" s="893" t="str">
        <f>[1]Salaries!B31</f>
        <v>**Substitute Teachers, Rule 10 Coaches, Coaching Assistants and other short term temporary help.</v>
      </c>
      <c r="C671" s="893"/>
      <c r="D671" s="893"/>
      <c r="E671" s="893"/>
      <c r="F671" s="893"/>
      <c r="G671" s="893"/>
      <c r="H671" s="893"/>
      <c r="I671" s="893"/>
      <c r="J671" s="893"/>
    </row>
    <row r="672" spans="1:14" ht="24.75" customHeight="1" thickBot="1">
      <c r="A672" s="606" t="str">
        <f>[1]Salaries!A32</f>
        <v>Total Salary:</v>
      </c>
      <c r="B672" s="896" t="str">
        <f>[1]Salaries!B32</f>
        <v>Report total salary including employee reduction plans***,  supplemental, extra pay for summer school, and board paid fringe benefits (employer paid)****.</v>
      </c>
      <c r="C672" s="896"/>
      <c r="D672" s="896"/>
      <c r="E672" s="896"/>
      <c r="F672" s="896"/>
      <c r="G672" s="896"/>
      <c r="H672" s="896"/>
      <c r="I672" s="896"/>
      <c r="J672" s="896"/>
    </row>
    <row r="673" spans="1:14" ht="36" customHeight="1">
      <c r="A673" s="895" t="str">
        <f>[1]Salaries!A33</f>
        <v>*FTE for Licensed Administrators, Teachers and Other Licensed Personnel is defined by the local school board.  Generally FTE for teachers with a 9-10 month contract should be reported as 1.0; FTE for Principals with a 10-12 month contract should be reported as 1.0; FTE for Superintendents with a 12 month contract should be reported as 1.0.</v>
      </c>
      <c r="B673" s="895"/>
      <c r="C673" s="895"/>
      <c r="D673" s="895"/>
      <c r="E673" s="895"/>
      <c r="F673" s="895"/>
      <c r="G673" s="895"/>
      <c r="H673" s="895"/>
      <c r="I673" s="895"/>
      <c r="J673" s="895"/>
    </row>
    <row r="674" spans="1:14" ht="22.5" customHeight="1">
      <c r="A674" s="891" t="str">
        <f>[1]Salaries!A34</f>
        <v>**FTE of 1.0 for Non-Licensed Administrators, Classified Personnel and Substitutes/Temporary should be based upon 2,080 hours.</v>
      </c>
      <c r="B674" s="891"/>
      <c r="C674" s="891"/>
      <c r="D674" s="891"/>
      <c r="E674" s="891"/>
      <c r="F674" s="891"/>
      <c r="G674" s="891"/>
      <c r="H674" s="891"/>
      <c r="I674" s="891"/>
      <c r="J674" s="891"/>
    </row>
    <row r="675" spans="1:14" ht="27" customHeight="1">
      <c r="A675" s="892" t="str">
        <f>[1]Salaries!A35</f>
        <v>***Employee reduction plans include benefits received by employees under a Section 125 Salary Reduction Agreement.  Does not include social security, workers' compensation, and unemployment insurance.</v>
      </c>
      <c r="B675" s="892"/>
      <c r="C675" s="892"/>
      <c r="D675" s="892"/>
      <c r="E675" s="892"/>
      <c r="F675" s="892"/>
      <c r="G675" s="892"/>
      <c r="H675" s="892"/>
      <c r="I675" s="892"/>
      <c r="J675" s="892"/>
    </row>
    <row r="676" spans="1:14" ht="35.25" customHeight="1">
      <c r="A676" s="892" t="str">
        <f>[1]Salaries!A36</f>
        <v>****Board paid fringe benefits (employer paid) include group life, group health, disability income, accidental death and dismemberment, and hospital surgical, and/or medical expense insurance.  Does not include social security, workers' compensation, and unemployment insurance.</v>
      </c>
      <c r="B676" s="892"/>
      <c r="C676" s="892"/>
      <c r="D676" s="892"/>
      <c r="E676" s="892"/>
      <c r="F676" s="892"/>
      <c r="G676" s="892"/>
      <c r="H676" s="892"/>
      <c r="I676" s="892"/>
      <c r="J676" s="892"/>
    </row>
    <row r="677" spans="1:14">
      <c r="A677" s="607"/>
      <c r="B677" s="608"/>
      <c r="C677" s="608"/>
      <c r="D677" s="608"/>
      <c r="E677" s="608"/>
      <c r="F677" s="608"/>
      <c r="G677" s="608"/>
      <c r="H677" s="608"/>
      <c r="I677" s="608"/>
      <c r="J677" s="608"/>
    </row>
    <row r="679" spans="1:14">
      <c r="K679" s="139"/>
      <c r="L679" s="516"/>
      <c r="M679" s="516"/>
      <c r="N679" s="516"/>
    </row>
    <row r="680" spans="1:14">
      <c r="K680" s="139" t="str">
        <f>IF(AND($E680&lt;=0,$H680&lt;=0,$J680&lt;=0),"",$B680)</f>
        <v/>
      </c>
      <c r="L680" s="503"/>
      <c r="M680" s="503"/>
      <c r="N680" s="503"/>
    </row>
    <row r="681" spans="1:14">
      <c r="K681" s="139" t="str">
        <f>IF(AND($E681&lt;=0,$H681&lt;=0,$J681&lt;=0),"",$B681)</f>
        <v/>
      </c>
      <c r="L681" s="503"/>
      <c r="M681" s="503"/>
      <c r="N681" s="503"/>
    </row>
    <row r="682" spans="1:14">
      <c r="K682" s="139" t="str">
        <f>IF(AND($E682&lt;=0,$H682&lt;=0,$J682&lt;=0),"",$B682)</f>
        <v/>
      </c>
      <c r="L682" s="503"/>
      <c r="M682" s="503"/>
      <c r="N682" s="503"/>
    </row>
    <row r="683" spans="1:14">
      <c r="K683" s="139" t="str">
        <f>IF(AND($E683&lt;=0,$H683&lt;=0,$J683&lt;=0),"",$B683)</f>
        <v/>
      </c>
      <c r="L683" s="503"/>
      <c r="M683" s="503"/>
      <c r="N683" s="503"/>
    </row>
    <row r="708" spans="1:10" ht="38.25">
      <c r="A708" s="894" t="s">
        <v>212</v>
      </c>
      <c r="B708" s="894"/>
      <c r="C708" s="894"/>
      <c r="D708" s="894"/>
      <c r="E708" s="894"/>
      <c r="F708" s="894"/>
      <c r="G708" s="894"/>
      <c r="H708" s="894"/>
      <c r="I708" s="894"/>
      <c r="J708" s="894"/>
    </row>
    <row r="709" spans="1:10" ht="31.5">
      <c r="A709" s="889" t="s">
        <v>213</v>
      </c>
      <c r="B709" s="889"/>
      <c r="C709" s="889"/>
      <c r="D709" s="889"/>
      <c r="E709" s="889"/>
      <c r="F709" s="889"/>
      <c r="G709" s="889"/>
      <c r="H709" s="889"/>
      <c r="I709" s="889"/>
      <c r="J709" s="889"/>
    </row>
    <row r="711" spans="1:10" ht="25.5">
      <c r="A711" s="890" t="s">
        <v>214</v>
      </c>
      <c r="B711" s="890"/>
      <c r="C711" s="890"/>
      <c r="D711" s="890"/>
      <c r="E711" s="890"/>
      <c r="F711" s="890"/>
      <c r="G711" s="890"/>
      <c r="H711" s="890"/>
      <c r="I711" s="890"/>
      <c r="J711" s="890"/>
    </row>
    <row r="712" spans="1:10" ht="23.25" customHeight="1">
      <c r="A712" s="884" t="s">
        <v>215</v>
      </c>
      <c r="B712" s="884"/>
      <c r="C712" s="884"/>
      <c r="D712" s="883" t="s">
        <v>219</v>
      </c>
      <c r="E712" s="883"/>
      <c r="F712" s="883"/>
      <c r="G712" s="883"/>
      <c r="H712" s="883"/>
      <c r="I712" s="883"/>
      <c r="J712" s="883"/>
    </row>
    <row r="713" spans="1:10" ht="23.25" customHeight="1">
      <c r="A713" s="884" t="s">
        <v>216</v>
      </c>
      <c r="B713" s="884"/>
      <c r="C713" s="884"/>
      <c r="D713" s="883" t="s">
        <v>220</v>
      </c>
      <c r="E713" s="883"/>
      <c r="F713" s="883"/>
      <c r="G713" s="883"/>
      <c r="H713" s="883"/>
      <c r="I713" s="883"/>
      <c r="J713" s="883"/>
    </row>
    <row r="714" spans="1:10" ht="23.25" customHeight="1">
      <c r="A714" s="884" t="s">
        <v>217</v>
      </c>
      <c r="B714" s="884"/>
      <c r="C714" s="884"/>
      <c r="D714" s="883" t="s">
        <v>221</v>
      </c>
      <c r="E714" s="883"/>
      <c r="F714" s="883"/>
      <c r="G714" s="883"/>
      <c r="H714" s="883"/>
      <c r="I714" s="883"/>
      <c r="J714" s="883"/>
    </row>
    <row r="715" spans="1:10" ht="23.25" customHeight="1">
      <c r="A715" s="884" t="s">
        <v>218</v>
      </c>
      <c r="B715" s="884"/>
      <c r="C715" s="884"/>
      <c r="D715" s="883" t="s">
        <v>222</v>
      </c>
      <c r="E715" s="883"/>
      <c r="F715" s="883"/>
      <c r="G715" s="883"/>
      <c r="H715" s="883"/>
      <c r="I715" s="883"/>
      <c r="J715" s="883"/>
    </row>
    <row r="717" spans="1:10" ht="25.5">
      <c r="A717" s="888" t="s">
        <v>241</v>
      </c>
      <c r="B717" s="888"/>
      <c r="C717" s="888"/>
      <c r="D717" s="888"/>
      <c r="E717" s="888"/>
      <c r="F717" s="888"/>
      <c r="G717" s="888"/>
      <c r="H717" s="888"/>
      <c r="I717" s="888"/>
      <c r="J717" s="888"/>
    </row>
    <row r="718" spans="1:10" ht="23.25">
      <c r="A718" s="887" t="s">
        <v>223</v>
      </c>
      <c r="B718" s="887"/>
      <c r="C718" s="887"/>
      <c r="E718" s="626" t="s">
        <v>235</v>
      </c>
      <c r="F718" s="626"/>
      <c r="G718" s="626"/>
      <c r="H718" s="626"/>
      <c r="I718" s="626"/>
      <c r="J718" s="626"/>
    </row>
    <row r="719" spans="1:10" ht="23.25" customHeight="1">
      <c r="A719" s="625" t="s">
        <v>224</v>
      </c>
      <c r="B719" s="625"/>
      <c r="C719" s="625"/>
      <c r="D719" s="625"/>
      <c r="E719" s="627" t="s">
        <v>236</v>
      </c>
      <c r="F719" s="627"/>
      <c r="G719" s="627"/>
      <c r="H719" s="627"/>
      <c r="I719" s="627"/>
      <c r="J719" s="627"/>
    </row>
    <row r="720" spans="1:10" ht="23.25" customHeight="1">
      <c r="A720" s="625" t="s">
        <v>225</v>
      </c>
      <c r="B720" s="625"/>
      <c r="C720" s="625"/>
      <c r="D720" s="625"/>
    </row>
    <row r="721" spans="1:10" ht="23.25" customHeight="1">
      <c r="A721" s="625" t="s">
        <v>226</v>
      </c>
      <c r="B721" s="625"/>
      <c r="C721" s="625"/>
      <c r="D721" s="625"/>
      <c r="E721" s="628" t="s">
        <v>237</v>
      </c>
    </row>
    <row r="722" spans="1:10" ht="23.25" customHeight="1">
      <c r="A722" s="625" t="s">
        <v>227</v>
      </c>
      <c r="B722" s="625"/>
      <c r="C722" s="625"/>
      <c r="D722" s="625"/>
      <c r="E722" s="627" t="s">
        <v>238</v>
      </c>
      <c r="F722" s="627"/>
      <c r="G722" s="627"/>
      <c r="H722" s="627"/>
      <c r="I722" s="627"/>
      <c r="J722" s="627"/>
    </row>
    <row r="723" spans="1:10" ht="23.25" customHeight="1">
      <c r="A723" s="625" t="s">
        <v>220</v>
      </c>
      <c r="B723" s="625"/>
      <c r="C723" s="625"/>
      <c r="D723" s="625"/>
      <c r="E723" s="629"/>
    </row>
    <row r="724" spans="1:10" ht="23.25" customHeight="1">
      <c r="A724" s="625" t="s">
        <v>228</v>
      </c>
      <c r="B724" s="625"/>
      <c r="C724" s="625"/>
      <c r="D724" s="625"/>
      <c r="E724" s="630" t="s">
        <v>239</v>
      </c>
    </row>
    <row r="725" spans="1:10" ht="23.25" customHeight="1">
      <c r="A725" s="625" t="s">
        <v>229</v>
      </c>
      <c r="B725" s="625"/>
      <c r="C725" s="625"/>
      <c r="D725" s="625"/>
      <c r="E725" s="629"/>
    </row>
    <row r="726" spans="1:10" ht="23.25" customHeight="1">
      <c r="A726" s="625" t="s">
        <v>230</v>
      </c>
      <c r="B726" s="625"/>
      <c r="C726" s="625"/>
      <c r="D726" s="625"/>
      <c r="E726" s="629"/>
    </row>
    <row r="727" spans="1:10" ht="23.25" customHeight="1">
      <c r="A727" s="625" t="s">
        <v>231</v>
      </c>
      <c r="B727" s="625"/>
      <c r="C727" s="625"/>
      <c r="D727" s="625"/>
      <c r="E727" s="630" t="s">
        <v>240</v>
      </c>
    </row>
    <row r="728" spans="1:10" ht="23.25" customHeight="1">
      <c r="A728" s="625" t="s">
        <v>232</v>
      </c>
      <c r="B728" s="625"/>
      <c r="C728" s="625"/>
      <c r="D728" s="625"/>
    </row>
    <row r="729" spans="1:10" ht="23.25" customHeight="1">
      <c r="A729" s="625" t="s">
        <v>233</v>
      </c>
      <c r="B729" s="625"/>
      <c r="C729" s="625"/>
      <c r="D729" s="625"/>
    </row>
    <row r="730" spans="1:10" ht="23.25" customHeight="1">
      <c r="A730" s="625" t="s">
        <v>231</v>
      </c>
      <c r="B730" s="625"/>
      <c r="C730" s="625"/>
      <c r="D730" s="625"/>
    </row>
    <row r="731" spans="1:10" ht="23.25" customHeight="1">
      <c r="A731" s="625" t="s">
        <v>234</v>
      </c>
      <c r="B731" s="625"/>
      <c r="C731" s="625"/>
      <c r="D731" s="625"/>
    </row>
    <row r="732" spans="1:10" ht="23.25" customHeight="1">
      <c r="A732" s="625" t="s">
        <v>222</v>
      </c>
      <c r="B732" s="625"/>
      <c r="C732" s="625"/>
      <c r="D732" s="625"/>
    </row>
    <row r="733" spans="1:10" ht="18">
      <c r="A733" s="627"/>
      <c r="B733" s="627"/>
      <c r="C733" s="627"/>
    </row>
    <row r="734" spans="1:10" ht="25.5">
      <c r="A734" s="886" t="s">
        <v>242</v>
      </c>
      <c r="B734" s="886"/>
      <c r="C734" s="886"/>
      <c r="D734" s="886"/>
      <c r="E734" s="886"/>
      <c r="F734" s="886"/>
      <c r="G734" s="886"/>
      <c r="H734" s="886"/>
      <c r="I734" s="886"/>
      <c r="J734" s="886"/>
    </row>
    <row r="735" spans="1:10" ht="23.25" customHeight="1">
      <c r="A735" s="884" t="s">
        <v>243</v>
      </c>
      <c r="B735" s="884"/>
      <c r="C735" s="884"/>
      <c r="D735" s="883" t="s">
        <v>252</v>
      </c>
      <c r="E735" s="883"/>
      <c r="F735" s="883"/>
      <c r="G735" s="883"/>
      <c r="H735" s="883"/>
      <c r="I735" s="883"/>
      <c r="J735" s="883"/>
    </row>
    <row r="736" spans="1:10" ht="23.25" customHeight="1">
      <c r="A736" s="884" t="s">
        <v>244</v>
      </c>
      <c r="B736" s="884"/>
      <c r="C736" s="884"/>
      <c r="D736" s="883" t="s">
        <v>253</v>
      </c>
      <c r="E736" s="883"/>
      <c r="F736" s="883"/>
      <c r="G736" s="883"/>
      <c r="H736" s="883"/>
      <c r="I736" s="883"/>
      <c r="J736" s="883"/>
    </row>
    <row r="737" spans="1:10" ht="23.25" customHeight="1">
      <c r="A737" s="884" t="s">
        <v>245</v>
      </c>
      <c r="B737" s="884"/>
      <c r="C737" s="884"/>
      <c r="D737" s="883" t="s">
        <v>254</v>
      </c>
      <c r="E737" s="883"/>
      <c r="F737" s="883"/>
      <c r="G737" s="883"/>
      <c r="H737" s="883"/>
      <c r="I737" s="883"/>
      <c r="J737" s="883"/>
    </row>
    <row r="738" spans="1:10" ht="23.25" customHeight="1">
      <c r="A738" s="884" t="s">
        <v>246</v>
      </c>
      <c r="B738" s="884"/>
      <c r="C738" s="884"/>
      <c r="D738" s="883" t="s">
        <v>255</v>
      </c>
      <c r="E738" s="883"/>
      <c r="F738" s="883"/>
      <c r="G738" s="883"/>
      <c r="H738" s="883"/>
      <c r="I738" s="883"/>
      <c r="J738" s="883"/>
    </row>
    <row r="739" spans="1:10" ht="23.25" customHeight="1">
      <c r="A739" s="884" t="s">
        <v>247</v>
      </c>
      <c r="B739" s="884"/>
      <c r="C739" s="884"/>
      <c r="D739" s="883" t="s">
        <v>256</v>
      </c>
      <c r="E739" s="883"/>
      <c r="F739" s="883"/>
      <c r="G739" s="883"/>
      <c r="H739" s="883"/>
      <c r="I739" s="883"/>
      <c r="J739" s="883"/>
    </row>
    <row r="740" spans="1:10" ht="23.25" customHeight="1">
      <c r="A740" s="885" t="s">
        <v>248</v>
      </c>
      <c r="B740" s="885"/>
      <c r="C740" s="885"/>
      <c r="D740" s="883" t="s">
        <v>257</v>
      </c>
      <c r="E740" s="883"/>
      <c r="F740" s="883"/>
      <c r="G740" s="883"/>
      <c r="H740" s="883"/>
      <c r="I740" s="883"/>
      <c r="J740" s="883"/>
    </row>
    <row r="741" spans="1:10" ht="23.25" customHeight="1">
      <c r="A741" s="885" t="s">
        <v>249</v>
      </c>
      <c r="B741" s="885"/>
      <c r="C741" s="885"/>
      <c r="D741" s="883" t="s">
        <v>258</v>
      </c>
      <c r="E741" s="883"/>
      <c r="F741" s="883"/>
      <c r="G741" s="883"/>
      <c r="H741" s="883"/>
      <c r="I741" s="883"/>
      <c r="J741" s="883"/>
    </row>
    <row r="742" spans="1:10" ht="23.25" customHeight="1">
      <c r="A742" s="884" t="s">
        <v>250</v>
      </c>
      <c r="B742" s="884"/>
      <c r="C742" s="884"/>
      <c r="D742" s="883" t="s">
        <v>259</v>
      </c>
      <c r="E742" s="883"/>
      <c r="F742" s="883"/>
      <c r="G742" s="883"/>
      <c r="H742" s="883"/>
      <c r="I742" s="883"/>
      <c r="J742" s="883"/>
    </row>
    <row r="743" spans="1:10" ht="23.25" customHeight="1">
      <c r="A743" s="884" t="s">
        <v>251</v>
      </c>
      <c r="B743" s="884"/>
      <c r="C743" s="884"/>
      <c r="D743" s="631"/>
    </row>
  </sheetData>
  <sheetProtection algorithmName="SHA-512" hashValue="m0/d8xZ/ErICk8DOci77XlTkj1MomoxH9oVFmEwn2XDGWkD+jTiNnyTGZGEu4k4Aya1YR5fbJPlPyWzmGN4k6A==" saltValue="5Dage7J1F0+2tIWUwLLKDw==" spinCount="100000" sheet="1" objects="1" scenarios="1"/>
  <mergeCells count="385">
    <mergeCell ref="F157:G157"/>
    <mergeCell ref="F156:G156"/>
    <mergeCell ref="F155:G155"/>
    <mergeCell ref="F154:G154"/>
    <mergeCell ref="I166:J166"/>
    <mergeCell ref="I165:J165"/>
    <mergeCell ref="I164:J164"/>
    <mergeCell ref="I163:J163"/>
    <mergeCell ref="I162:J162"/>
    <mergeCell ref="I161:J161"/>
    <mergeCell ref="I160:J160"/>
    <mergeCell ref="I159:J159"/>
    <mergeCell ref="I158:J158"/>
    <mergeCell ref="I157:J157"/>
    <mergeCell ref="I156:J156"/>
    <mergeCell ref="I155:J155"/>
    <mergeCell ref="I154:J154"/>
    <mergeCell ref="A117:J117"/>
    <mergeCell ref="A152:J152"/>
    <mergeCell ref="C154:D154"/>
    <mergeCell ref="C155:D155"/>
    <mergeCell ref="C166:D166"/>
    <mergeCell ref="C165:D165"/>
    <mergeCell ref="C164:D164"/>
    <mergeCell ref="C163:D163"/>
    <mergeCell ref="C162:D162"/>
    <mergeCell ref="C161:D161"/>
    <mergeCell ref="C160:D160"/>
    <mergeCell ref="C159:D159"/>
    <mergeCell ref="C158:D158"/>
    <mergeCell ref="C157:D157"/>
    <mergeCell ref="C156:D156"/>
    <mergeCell ref="F166:G166"/>
    <mergeCell ref="F165:G165"/>
    <mergeCell ref="F164:G164"/>
    <mergeCell ref="F163:G163"/>
    <mergeCell ref="F162:G162"/>
    <mergeCell ref="F161:G161"/>
    <mergeCell ref="F160:G160"/>
    <mergeCell ref="F159:G159"/>
    <mergeCell ref="F158:G158"/>
    <mergeCell ref="A23:J23"/>
    <mergeCell ref="C39:J40"/>
    <mergeCell ref="A27:G27"/>
    <mergeCell ref="A25:G25"/>
    <mergeCell ref="J51:J52"/>
    <mergeCell ref="A41:J41"/>
    <mergeCell ref="A43:J43"/>
    <mergeCell ref="I94:J94"/>
    <mergeCell ref="A92:J92"/>
    <mergeCell ref="A214:J214"/>
    <mergeCell ref="C216:D216"/>
    <mergeCell ref="I100:J100"/>
    <mergeCell ref="I101:J101"/>
    <mergeCell ref="I102:J102"/>
    <mergeCell ref="A168:J168"/>
    <mergeCell ref="I95:J95"/>
    <mergeCell ref="I96:J96"/>
    <mergeCell ref="I97:J97"/>
    <mergeCell ref="I98:J98"/>
    <mergeCell ref="I99:J99"/>
    <mergeCell ref="I103:J103"/>
    <mergeCell ref="I104:J104"/>
    <mergeCell ref="I105:J105"/>
    <mergeCell ref="I106:J106"/>
    <mergeCell ref="I107:J107"/>
    <mergeCell ref="I108:J108"/>
    <mergeCell ref="I109:J109"/>
    <mergeCell ref="I111:J111"/>
    <mergeCell ref="I112:J112"/>
    <mergeCell ref="A110:J110"/>
    <mergeCell ref="A114:J114"/>
    <mergeCell ref="A115:J115"/>
    <mergeCell ref="A116:J116"/>
    <mergeCell ref="F229:G229"/>
    <mergeCell ref="F228:G228"/>
    <mergeCell ref="F227:G227"/>
    <mergeCell ref="F226:G226"/>
    <mergeCell ref="F225:G225"/>
    <mergeCell ref="C217:D217"/>
    <mergeCell ref="C229:D229"/>
    <mergeCell ref="C228:D228"/>
    <mergeCell ref="C227:D227"/>
    <mergeCell ref="C226:D226"/>
    <mergeCell ref="C225:D225"/>
    <mergeCell ref="C224:D224"/>
    <mergeCell ref="C223:D223"/>
    <mergeCell ref="C222:D222"/>
    <mergeCell ref="C221:D221"/>
    <mergeCell ref="C220:D220"/>
    <mergeCell ref="C219:D219"/>
    <mergeCell ref="C218:D218"/>
    <mergeCell ref="I217:J217"/>
    <mergeCell ref="I216:J216"/>
    <mergeCell ref="A231:J231"/>
    <mergeCell ref="F219:G219"/>
    <mergeCell ref="F218:G218"/>
    <mergeCell ref="F217:G217"/>
    <mergeCell ref="F216:G216"/>
    <mergeCell ref="I229:J229"/>
    <mergeCell ref="I228:J228"/>
    <mergeCell ref="I227:J227"/>
    <mergeCell ref="I226:J226"/>
    <mergeCell ref="I225:J225"/>
    <mergeCell ref="I224:J224"/>
    <mergeCell ref="I223:J223"/>
    <mergeCell ref="I222:J222"/>
    <mergeCell ref="I221:J221"/>
    <mergeCell ref="I220:J220"/>
    <mergeCell ref="I219:J219"/>
    <mergeCell ref="I218:J218"/>
    <mergeCell ref="F224:G224"/>
    <mergeCell ref="F223:G223"/>
    <mergeCell ref="F222:G222"/>
    <mergeCell ref="F221:G221"/>
    <mergeCell ref="F220:G220"/>
    <mergeCell ref="I281:J281"/>
    <mergeCell ref="I280:J280"/>
    <mergeCell ref="I279:J279"/>
    <mergeCell ref="A293:J293"/>
    <mergeCell ref="A332:J332"/>
    <mergeCell ref="I286:J286"/>
    <mergeCell ref="I285:J285"/>
    <mergeCell ref="I284:J284"/>
    <mergeCell ref="I283:J283"/>
    <mergeCell ref="I282:J282"/>
    <mergeCell ref="I291:J291"/>
    <mergeCell ref="I290:J290"/>
    <mergeCell ref="I289:J289"/>
    <mergeCell ref="I288:J288"/>
    <mergeCell ref="I287:J287"/>
    <mergeCell ref="D337:E337"/>
    <mergeCell ref="H337:I337"/>
    <mergeCell ref="D338:E338"/>
    <mergeCell ref="H338:I338"/>
    <mergeCell ref="D339:E339"/>
    <mergeCell ref="H339:I339"/>
    <mergeCell ref="D334:E334"/>
    <mergeCell ref="H334:I334"/>
    <mergeCell ref="D335:E335"/>
    <mergeCell ref="H335:I335"/>
    <mergeCell ref="D336:E336"/>
    <mergeCell ref="H336:I336"/>
    <mergeCell ref="D343:E343"/>
    <mergeCell ref="H343:I343"/>
    <mergeCell ref="D344:E344"/>
    <mergeCell ref="H344:I344"/>
    <mergeCell ref="D345:E345"/>
    <mergeCell ref="H345:I345"/>
    <mergeCell ref="D340:E340"/>
    <mergeCell ref="H340:I340"/>
    <mergeCell ref="D341:E341"/>
    <mergeCell ref="H341:I341"/>
    <mergeCell ref="D342:E342"/>
    <mergeCell ref="H342:I342"/>
    <mergeCell ref="D349:E349"/>
    <mergeCell ref="H349:I349"/>
    <mergeCell ref="D350:E350"/>
    <mergeCell ref="H350:I350"/>
    <mergeCell ref="D351:E351"/>
    <mergeCell ref="H351:I351"/>
    <mergeCell ref="D346:E346"/>
    <mergeCell ref="H346:I346"/>
    <mergeCell ref="D347:E347"/>
    <mergeCell ref="H347:I347"/>
    <mergeCell ref="D348:E348"/>
    <mergeCell ref="H348:I348"/>
    <mergeCell ref="D355:E355"/>
    <mergeCell ref="H355:I355"/>
    <mergeCell ref="D356:E356"/>
    <mergeCell ref="H356:I356"/>
    <mergeCell ref="D357:E357"/>
    <mergeCell ref="H357:I357"/>
    <mergeCell ref="D352:E352"/>
    <mergeCell ref="H352:I352"/>
    <mergeCell ref="D353:E353"/>
    <mergeCell ref="H353:I353"/>
    <mergeCell ref="D354:E354"/>
    <mergeCell ref="H354:I354"/>
    <mergeCell ref="D361:E361"/>
    <mergeCell ref="H361:I361"/>
    <mergeCell ref="D362:E362"/>
    <mergeCell ref="H362:I362"/>
    <mergeCell ref="D363:E363"/>
    <mergeCell ref="H363:I363"/>
    <mergeCell ref="D358:E358"/>
    <mergeCell ref="H358:I358"/>
    <mergeCell ref="D359:E359"/>
    <mergeCell ref="H359:I359"/>
    <mergeCell ref="D360:E360"/>
    <mergeCell ref="H360:I360"/>
    <mergeCell ref="D367:E367"/>
    <mergeCell ref="H367:I367"/>
    <mergeCell ref="D368:E368"/>
    <mergeCell ref="H368:I368"/>
    <mergeCell ref="D369:E369"/>
    <mergeCell ref="H369:I369"/>
    <mergeCell ref="D364:E364"/>
    <mergeCell ref="H364:I364"/>
    <mergeCell ref="D365:E365"/>
    <mergeCell ref="H365:I365"/>
    <mergeCell ref="D366:E366"/>
    <mergeCell ref="H366:I366"/>
    <mergeCell ref="A376:J376"/>
    <mergeCell ref="A377:J377"/>
    <mergeCell ref="A378:J378"/>
    <mergeCell ref="A45:I45"/>
    <mergeCell ref="A47:I47"/>
    <mergeCell ref="A49:I49"/>
    <mergeCell ref="A54:I54"/>
    <mergeCell ref="A56:I56"/>
    <mergeCell ref="A58:I58"/>
    <mergeCell ref="A60:I60"/>
    <mergeCell ref="A62:I62"/>
    <mergeCell ref="A64:I64"/>
    <mergeCell ref="A66:I66"/>
    <mergeCell ref="A51:I52"/>
    <mergeCell ref="D373:E373"/>
    <mergeCell ref="H373:I373"/>
    <mergeCell ref="D374:E374"/>
    <mergeCell ref="H374:I374"/>
    <mergeCell ref="D370:E370"/>
    <mergeCell ref="H370:I370"/>
    <mergeCell ref="D371:E371"/>
    <mergeCell ref="H371:I371"/>
    <mergeCell ref="D372:E372"/>
    <mergeCell ref="H372:I372"/>
    <mergeCell ref="I433:J433"/>
    <mergeCell ref="A397:J397"/>
    <mergeCell ref="A399:A401"/>
    <mergeCell ref="D400:D401"/>
    <mergeCell ref="E400:E401"/>
    <mergeCell ref="D399:H399"/>
    <mergeCell ref="F400:H400"/>
    <mergeCell ref="I418:J418"/>
    <mergeCell ref="I427:J427"/>
    <mergeCell ref="I426:J426"/>
    <mergeCell ref="I425:J425"/>
    <mergeCell ref="I424:J424"/>
    <mergeCell ref="I423:J423"/>
    <mergeCell ref="I432:J432"/>
    <mergeCell ref="I431:J431"/>
    <mergeCell ref="I430:J430"/>
    <mergeCell ref="I429:J429"/>
    <mergeCell ref="I428:J428"/>
    <mergeCell ref="I402:J402"/>
    <mergeCell ref="I401:J401"/>
    <mergeCell ref="I400:J400"/>
    <mergeCell ref="I399:J399"/>
    <mergeCell ref="A443:J443"/>
    <mergeCell ref="I407:J407"/>
    <mergeCell ref="I406:J406"/>
    <mergeCell ref="I405:J405"/>
    <mergeCell ref="I404:J404"/>
    <mergeCell ref="I403:J403"/>
    <mergeCell ref="I412:J412"/>
    <mergeCell ref="I411:J411"/>
    <mergeCell ref="I410:J410"/>
    <mergeCell ref="I409:J409"/>
    <mergeCell ref="I408:J408"/>
    <mergeCell ref="I417:J417"/>
    <mergeCell ref="I416:J416"/>
    <mergeCell ref="I415:J415"/>
    <mergeCell ref="I414:J414"/>
    <mergeCell ref="I413:J413"/>
    <mergeCell ref="I422:J422"/>
    <mergeCell ref="I421:J421"/>
    <mergeCell ref="I420:J420"/>
    <mergeCell ref="I419:J419"/>
    <mergeCell ref="I437:J437"/>
    <mergeCell ref="I436:J436"/>
    <mergeCell ref="I435:J435"/>
    <mergeCell ref="I434:J434"/>
    <mergeCell ref="B452:F452"/>
    <mergeCell ref="A454:J454"/>
    <mergeCell ref="A460:J460"/>
    <mergeCell ref="A468:J468"/>
    <mergeCell ref="B446:C446"/>
    <mergeCell ref="B447:C447"/>
    <mergeCell ref="B448:C448"/>
    <mergeCell ref="B449:C449"/>
    <mergeCell ref="B450:C450"/>
    <mergeCell ref="A525:J525"/>
    <mergeCell ref="E527:F527"/>
    <mergeCell ref="E528:F528"/>
    <mergeCell ref="E529:F529"/>
    <mergeCell ref="E530:F530"/>
    <mergeCell ref="I530:J530"/>
    <mergeCell ref="I529:J529"/>
    <mergeCell ref="I528:J528"/>
    <mergeCell ref="I527:J527"/>
    <mergeCell ref="E536:F536"/>
    <mergeCell ref="E537:F537"/>
    <mergeCell ref="E538:F538"/>
    <mergeCell ref="E539:F539"/>
    <mergeCell ref="E540:F540"/>
    <mergeCell ref="E531:F531"/>
    <mergeCell ref="E532:F532"/>
    <mergeCell ref="E533:F533"/>
    <mergeCell ref="E534:F534"/>
    <mergeCell ref="E535:F535"/>
    <mergeCell ref="I545:J545"/>
    <mergeCell ref="I544:J544"/>
    <mergeCell ref="I543:J543"/>
    <mergeCell ref="I542:J542"/>
    <mergeCell ref="I541:J541"/>
    <mergeCell ref="E546:F546"/>
    <mergeCell ref="E547:F547"/>
    <mergeCell ref="E548:F548"/>
    <mergeCell ref="E549:F549"/>
    <mergeCell ref="I549:J549"/>
    <mergeCell ref="I548:J548"/>
    <mergeCell ref="I547:J547"/>
    <mergeCell ref="I546:J546"/>
    <mergeCell ref="E541:F541"/>
    <mergeCell ref="E542:F542"/>
    <mergeCell ref="E543:F543"/>
    <mergeCell ref="E544:F544"/>
    <mergeCell ref="E545:F545"/>
    <mergeCell ref="I535:J535"/>
    <mergeCell ref="I534:J534"/>
    <mergeCell ref="I533:J533"/>
    <mergeCell ref="I532:J532"/>
    <mergeCell ref="I531:J531"/>
    <mergeCell ref="I540:J540"/>
    <mergeCell ref="I539:J539"/>
    <mergeCell ref="I538:J538"/>
    <mergeCell ref="I537:J537"/>
    <mergeCell ref="I536:J536"/>
    <mergeCell ref="A655:J655"/>
    <mergeCell ref="B657:D657"/>
    <mergeCell ref="E657:G657"/>
    <mergeCell ref="H657:J657"/>
    <mergeCell ref="A666:A667"/>
    <mergeCell ref="B666:J666"/>
    <mergeCell ref="B667:J667"/>
    <mergeCell ref="A590:J590"/>
    <mergeCell ref="E592:F592"/>
    <mergeCell ref="E593:F593"/>
    <mergeCell ref="E594:F594"/>
    <mergeCell ref="E595:F595"/>
    <mergeCell ref="I595:J595"/>
    <mergeCell ref="I594:J594"/>
    <mergeCell ref="I593:J593"/>
    <mergeCell ref="I592:J592"/>
    <mergeCell ref="A709:J709"/>
    <mergeCell ref="A711:J711"/>
    <mergeCell ref="A674:J674"/>
    <mergeCell ref="A675:J675"/>
    <mergeCell ref="A676:J676"/>
    <mergeCell ref="B671:J671"/>
    <mergeCell ref="A708:J708"/>
    <mergeCell ref="B668:J668"/>
    <mergeCell ref="B669:J669"/>
    <mergeCell ref="B670:J670"/>
    <mergeCell ref="B672:J672"/>
    <mergeCell ref="A673:J673"/>
    <mergeCell ref="A718:C718"/>
    <mergeCell ref="A717:J717"/>
    <mergeCell ref="A712:C712"/>
    <mergeCell ref="A713:C713"/>
    <mergeCell ref="A714:C714"/>
    <mergeCell ref="A715:C715"/>
    <mergeCell ref="D712:J712"/>
    <mergeCell ref="D713:J713"/>
    <mergeCell ref="D714:J714"/>
    <mergeCell ref="D715:J715"/>
    <mergeCell ref="A734:J734"/>
    <mergeCell ref="A735:C735"/>
    <mergeCell ref="A736:C736"/>
    <mergeCell ref="A737:C737"/>
    <mergeCell ref="A738:C738"/>
    <mergeCell ref="D735:J735"/>
    <mergeCell ref="D736:J736"/>
    <mergeCell ref="D737:J737"/>
    <mergeCell ref="D738:J738"/>
    <mergeCell ref="D739:J739"/>
    <mergeCell ref="D740:J740"/>
    <mergeCell ref="D741:J741"/>
    <mergeCell ref="D742:J742"/>
    <mergeCell ref="A739:C739"/>
    <mergeCell ref="A740:C740"/>
    <mergeCell ref="A741:C741"/>
    <mergeCell ref="A742:C742"/>
    <mergeCell ref="A743:C743"/>
  </mergeCells>
  <hyperlinks>
    <hyperlink ref="A45" location="BAG!A81" display="Summary of Total Expenditures by Function (All Funds)……………………….………...……………………….…………………….." xr:uid="{849C337E-E841-4F41-9599-64D2392E1FA3}"/>
    <hyperlink ref="A47" location="BAG!A130" display="Total Expenditures by Function (All Funds)………….…………………………….…….." xr:uid="{D39F76F1-9167-4503-A614-28BE97209BC9}"/>
    <hyperlink ref="J45" location="BAG!A81" display="Summary of Total Expenditures by Function (All Funds)……………………….………...……………………….…………………….." xr:uid="{601008FD-A3F7-459A-8EF8-DDCC9BC258C4}"/>
    <hyperlink ref="A709:J709" r:id="rId1" display="KSDE's Data Central" xr:uid="{6484647C-BD2B-46C9-A305-F302929FA0A4}"/>
    <hyperlink ref="A711:J711" r:id="rId2" display="Kansas K-12 Reports" xr:uid="{C665837D-5B49-49B2-9F15-2E785DF87239}"/>
    <hyperlink ref="A718:C718" r:id="rId3" display="Warehouse" xr:uid="{CCBD339B-3890-4B89-8C4C-CF2DBAD1FBC0}"/>
    <hyperlink ref="E718:J718" r:id="rId4" display="Comparitive Performance &amp; Fiscal System (CPFS)" xr:uid="{85D083DF-6256-4A9C-BA57-44485C696E52}"/>
    <hyperlink ref="E721" r:id="rId5" xr:uid="{4AAC5E45-8AF0-4BC6-BBD5-098DCF3F19CD}"/>
    <hyperlink ref="E724" r:id="rId6" xr:uid="{62FC1783-2FD6-43DA-BAC8-01CB8CC3DB3F}"/>
    <hyperlink ref="E727" r:id="rId7" xr:uid="{A2C3DD40-5BE1-441B-A788-F76C2BE6B9A0}"/>
    <hyperlink ref="A734:J734" r:id="rId8" display="Kansas State Building Report Card" xr:uid="{3636A55D-FDCF-4B28-9382-BE27DED94A76}"/>
  </hyperlinks>
  <printOptions horizontalCentered="1"/>
  <pageMargins left="0.25" right="0.25" top="0.75" bottom="0.7" header="0.7" footer="0.7"/>
  <pageSetup scale="69" fitToHeight="0" orientation="portrait" r:id="rId9"/>
  <headerFooter differentFirst="1">
    <oddFooter xml:space="preserve">&amp;L&amp;"Arial,Regular"&amp;8Page &amp;P&amp;R&amp;"Arial,Regular"&amp;8Kansas State Department of Education | www.ksde.org&amp;"-,Regular"&amp;11 </oddFooter>
  </headerFooter>
  <rowBreaks count="7" manualBreakCount="7">
    <brk id="213" max="9" man="1"/>
    <brk id="275" max="9" man="1"/>
    <brk id="330" max="16383" man="1"/>
    <brk id="394" max="9" man="1"/>
    <brk id="524" max="9" man="1"/>
    <brk id="589" max="9" man="1"/>
    <brk id="654" max="9" man="1"/>
  </rowBreaks>
  <drawing r:id="rId1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tabColor rgb="FFFF0000"/>
  </sheetPr>
  <dimension ref="A1:H29"/>
  <sheetViews>
    <sheetView workbookViewId="0"/>
  </sheetViews>
  <sheetFormatPr defaultRowHeight="15"/>
  <cols>
    <col min="1" max="1" width="36.5703125" customWidth="1"/>
    <col min="2" max="2" width="5.7109375" bestFit="1" customWidth="1"/>
    <col min="3" max="3" width="14.7109375" customWidth="1"/>
    <col min="4" max="4" width="8.140625" customWidth="1"/>
    <col min="5" max="5" width="12.85546875" customWidth="1"/>
    <col min="6" max="6" width="6.5703125" bestFit="1" customWidth="1"/>
    <col min="7" max="7" width="6.5703125" customWidth="1"/>
    <col min="8" max="8" width="13.85546875" customWidth="1"/>
  </cols>
  <sheetData>
    <row r="1" spans="1:8">
      <c r="A1" s="2"/>
      <c r="B1" s="2"/>
      <c r="C1" s="2"/>
      <c r="D1" s="2"/>
      <c r="E1" s="46" t="s">
        <v>0</v>
      </c>
      <c r="F1" s="2"/>
      <c r="G1" s="2"/>
      <c r="H1" s="6">
        <f>[1]OPEN!$B$4</f>
        <v>225</v>
      </c>
    </row>
    <row r="2" spans="1:8">
      <c r="A2" s="2"/>
      <c r="B2" s="2"/>
      <c r="C2" s="2"/>
      <c r="D2" s="2"/>
      <c r="E2" s="2"/>
      <c r="F2" s="2"/>
      <c r="G2" s="2"/>
      <c r="H2" s="2"/>
    </row>
    <row r="3" spans="1:8" ht="15.75">
      <c r="A3" s="47" t="s">
        <v>86</v>
      </c>
      <c r="B3" s="47"/>
      <c r="C3" s="47"/>
      <c r="D3" s="47"/>
      <c r="E3" s="47"/>
      <c r="F3" s="47"/>
      <c r="G3" s="47"/>
      <c r="H3" s="47"/>
    </row>
    <row r="4" spans="1:8" ht="15.75">
      <c r="A4" s="47" t="s">
        <v>93</v>
      </c>
      <c r="B4" s="47"/>
      <c r="C4" s="47"/>
      <c r="D4" s="47"/>
      <c r="E4" s="47"/>
      <c r="F4" s="47"/>
      <c r="G4" s="47"/>
      <c r="H4" s="47"/>
    </row>
    <row r="5" spans="1:8">
      <c r="A5" s="48"/>
      <c r="B5" s="48"/>
      <c r="C5" s="48"/>
      <c r="D5" s="48"/>
      <c r="E5" s="48"/>
      <c r="F5" s="48"/>
      <c r="G5" s="48"/>
      <c r="H5" s="48"/>
    </row>
    <row r="6" spans="1:8">
      <c r="A6" s="48"/>
      <c r="B6" s="42" t="s">
        <v>1</v>
      </c>
      <c r="C6" s="42" t="str">
        <f>SUMEXPEN!D1374</f>
        <v>2023-2024</v>
      </c>
      <c r="D6" s="4"/>
      <c r="E6" s="42" t="str">
        <f>SUMEXPEN!G1374</f>
        <v>2024-2025</v>
      </c>
      <c r="F6" s="4"/>
      <c r="G6" s="4"/>
      <c r="H6" s="42" t="str">
        <f>SUMEXPEN!K1374</f>
        <v>2025-2026</v>
      </c>
    </row>
    <row r="7" spans="1:8">
      <c r="A7" s="48"/>
      <c r="B7" s="43"/>
      <c r="C7" s="43" t="s">
        <v>5</v>
      </c>
      <c r="D7" s="4"/>
      <c r="E7" s="43" t="s">
        <v>5</v>
      </c>
      <c r="F7" s="4"/>
      <c r="G7" s="4"/>
      <c r="H7" s="43" t="s">
        <v>6</v>
      </c>
    </row>
    <row r="8" spans="1:8">
      <c r="A8" s="49" t="s">
        <v>34</v>
      </c>
      <c r="B8" s="1"/>
      <c r="C8" s="3">
        <f>[1]CO99!$E$14</f>
        <v>20</v>
      </c>
      <c r="D8" s="2"/>
      <c r="E8" s="3">
        <f>[1]CO99!$G$14</f>
        <v>20</v>
      </c>
      <c r="F8" s="542"/>
      <c r="G8" s="542"/>
      <c r="H8" s="3">
        <f>[1]CO99!$J$14</f>
        <v>20</v>
      </c>
    </row>
    <row r="9" spans="1:8">
      <c r="A9" s="49" t="s">
        <v>169</v>
      </c>
      <c r="B9" s="1"/>
      <c r="C9" s="3">
        <f>[1]CO99!$E$15</f>
        <v>19.545000000000002</v>
      </c>
      <c r="D9" s="2"/>
      <c r="E9" s="3">
        <f>[1]CO99!$G$15</f>
        <v>18.940999999999999</v>
      </c>
      <c r="F9" s="542"/>
      <c r="G9" s="542"/>
      <c r="H9" s="3">
        <f>[1]CO99!$J$15</f>
        <v>23.21</v>
      </c>
    </row>
    <row r="10" spans="1:8">
      <c r="A10" s="49" t="s">
        <v>63</v>
      </c>
      <c r="B10" s="1"/>
      <c r="C10" s="3">
        <f>[1]CO99!$G$18</f>
        <v>0</v>
      </c>
      <c r="D10" s="2"/>
      <c r="E10" s="3">
        <f>[1]CO99!$G$18</f>
        <v>0</v>
      </c>
      <c r="F10" s="542"/>
      <c r="G10" s="542"/>
      <c r="H10" s="3">
        <f>[1]CO99!$J$18</f>
        <v>0</v>
      </c>
    </row>
    <row r="11" spans="1:8">
      <c r="A11" s="49" t="s">
        <v>41</v>
      </c>
      <c r="B11" s="1"/>
      <c r="C11" s="3">
        <f>[1]CO99!$E$24</f>
        <v>7.4589999999999996</v>
      </c>
      <c r="D11" s="2"/>
      <c r="E11" s="3">
        <f>[1]CO99!$G$24</f>
        <v>7.9829999999999997</v>
      </c>
      <c r="F11" s="542"/>
      <c r="G11" s="542"/>
      <c r="H11" s="3">
        <f>[1]CO99!$J$24</f>
        <v>8</v>
      </c>
    </row>
    <row r="12" spans="1:8">
      <c r="A12" s="49" t="s">
        <v>43</v>
      </c>
      <c r="B12" s="1"/>
      <c r="C12" s="3">
        <v>0</v>
      </c>
      <c r="D12" s="2"/>
      <c r="E12" s="3">
        <v>0</v>
      </c>
      <c r="F12" s="542"/>
      <c r="G12" s="542"/>
      <c r="H12" s="3">
        <v>0</v>
      </c>
    </row>
    <row r="13" spans="1:8">
      <c r="A13" s="49" t="s">
        <v>49</v>
      </c>
      <c r="B13" s="1"/>
      <c r="C13" s="3">
        <f>[1]CO99!$E$33</f>
        <v>0</v>
      </c>
      <c r="D13" s="2"/>
      <c r="E13" s="3">
        <f>[1]CO99!$G$33</f>
        <v>0</v>
      </c>
      <c r="F13" s="542"/>
      <c r="G13" s="542"/>
      <c r="H13" s="3">
        <f>[1]CO99!$J$33</f>
        <v>0</v>
      </c>
    </row>
    <row r="14" spans="1:8">
      <c r="A14" s="49" t="s">
        <v>110</v>
      </c>
      <c r="B14" s="1"/>
      <c r="C14" s="3">
        <f>[1]CO99!$E$36</f>
        <v>0</v>
      </c>
      <c r="D14" s="2"/>
      <c r="E14" s="3">
        <f>[1]CO99!$G$36</f>
        <v>0</v>
      </c>
      <c r="F14" s="542"/>
      <c r="G14" s="542"/>
      <c r="H14" s="3">
        <f>[1]CO99!$J$36</f>
        <v>0</v>
      </c>
    </row>
    <row r="15" spans="1:8">
      <c r="A15" s="1" t="s">
        <v>51</v>
      </c>
      <c r="B15" s="1"/>
      <c r="C15" s="3">
        <f>[1]CO99!$E$37</f>
        <v>0</v>
      </c>
      <c r="D15" s="2"/>
      <c r="E15" s="3">
        <f>[1]CO99!$G$37</f>
        <v>0</v>
      </c>
      <c r="F15" s="542"/>
      <c r="G15" s="542"/>
      <c r="H15" s="3">
        <f>[1]CO99!$J$37</f>
        <v>0</v>
      </c>
    </row>
    <row r="16" spans="1:8">
      <c r="A16" s="1" t="s">
        <v>52</v>
      </c>
      <c r="B16" s="50"/>
      <c r="C16" s="3">
        <f>[1]CO99!$E$38</f>
        <v>0</v>
      </c>
      <c r="D16" s="2"/>
      <c r="E16" s="3">
        <f>[1]CO99!$G$38</f>
        <v>0</v>
      </c>
      <c r="F16" s="542"/>
      <c r="G16" s="542"/>
      <c r="H16" s="3">
        <f>[1]CO99!$J$38</f>
        <v>0</v>
      </c>
    </row>
    <row r="17" spans="1:8">
      <c r="A17" s="1" t="str">
        <f>SUMEXPEN!B1118</f>
        <v>Bond and Interest #1</v>
      </c>
      <c r="B17" s="1"/>
      <c r="C17" s="3">
        <f>[1]CO99!$E$45</f>
        <v>9.0280000000000005</v>
      </c>
      <c r="D17" s="2"/>
      <c r="E17" s="3">
        <f>[1]CO99!$G$45</f>
        <v>8.98</v>
      </c>
      <c r="F17" s="542"/>
      <c r="G17" s="542"/>
      <c r="H17" s="3">
        <f>[1]CO99!$J$45</f>
        <v>8.5180000000000007</v>
      </c>
    </row>
    <row r="18" spans="1:8">
      <c r="A18" s="1" t="str">
        <f>SUMEXPEN!B1119</f>
        <v>Bond and Interest #2</v>
      </c>
      <c r="B18" s="1"/>
      <c r="C18" s="3">
        <f>[1]CO99!$E$46</f>
        <v>0</v>
      </c>
      <c r="D18" s="2"/>
      <c r="E18" s="3">
        <f>[1]CO99!$G$46</f>
        <v>0</v>
      </c>
      <c r="F18" s="542"/>
      <c r="G18" s="542"/>
      <c r="H18" s="3">
        <f>[1]CO99!$J$46</f>
        <v>0</v>
      </c>
    </row>
    <row r="19" spans="1:8">
      <c r="A19" s="1" t="s">
        <v>58</v>
      </c>
      <c r="B19" s="1"/>
      <c r="C19" s="3">
        <f>[1]CO99!$E$47</f>
        <v>0</v>
      </c>
      <c r="D19" s="2"/>
      <c r="E19" s="3">
        <f>[1]CO99!$G$47</f>
        <v>0</v>
      </c>
      <c r="F19" s="542"/>
      <c r="G19" s="542"/>
      <c r="H19" s="3">
        <f>[1]CO99!$J$47</f>
        <v>0</v>
      </c>
    </row>
    <row r="20" spans="1:8">
      <c r="A20" s="1" t="s">
        <v>59</v>
      </c>
      <c r="B20" s="1"/>
      <c r="C20" s="3">
        <f>[1]CO99!$E$48</f>
        <v>0</v>
      </c>
      <c r="D20" s="2"/>
      <c r="E20" s="3">
        <f>[1]CO99!$G$48</f>
        <v>0</v>
      </c>
      <c r="F20" s="542"/>
      <c r="G20" s="542"/>
      <c r="H20" s="3">
        <f>[1]CO99!$J$48</f>
        <v>0</v>
      </c>
    </row>
    <row r="21" spans="1:8">
      <c r="A21" s="1" t="s">
        <v>60</v>
      </c>
      <c r="B21" s="1"/>
      <c r="C21" s="3">
        <f>[1]CO99!$E$49</f>
        <v>0</v>
      </c>
      <c r="D21" s="2"/>
      <c r="E21" s="3">
        <f>[1]CO99!$G$49</f>
        <v>0</v>
      </c>
      <c r="F21" s="542"/>
      <c r="G21" s="542"/>
      <c r="H21" s="3">
        <f>[1]CO99!$J$49</f>
        <v>0</v>
      </c>
    </row>
    <row r="22" spans="1:8">
      <c r="A22" s="51" t="s">
        <v>88</v>
      </c>
      <c r="B22" s="1"/>
      <c r="C22" s="52">
        <f>IF(H1=113,SUM(C8:C16,C18:C21),SUM(C8:C21))</f>
        <v>56.031999999999996</v>
      </c>
      <c r="D22" s="2"/>
      <c r="E22" s="52">
        <f>IF(H1=113,SUM(E8:E16,E18:E21),SUM(E8:E21))</f>
        <v>55.904000000000003</v>
      </c>
      <c r="F22" s="542"/>
      <c r="G22" s="542"/>
      <c r="H22" s="52">
        <f>IF(H1=113,SUM(H8:H16,H18:H21),SUM(H8:H21))</f>
        <v>59.728000000000002</v>
      </c>
    </row>
    <row r="23" spans="1:8">
      <c r="A23" s="1" t="s">
        <v>94</v>
      </c>
      <c r="B23" s="1"/>
      <c r="C23" s="3">
        <f>[1]CO99!$E$64</f>
        <v>0</v>
      </c>
      <c r="D23" s="2"/>
      <c r="E23" s="3">
        <f>[1]CO99!$G$64</f>
        <v>0</v>
      </c>
      <c r="F23" s="542"/>
      <c r="G23" s="542"/>
      <c r="H23" s="3">
        <f>[1]CO99!$J$64</f>
        <v>0</v>
      </c>
    </row>
    <row r="24" spans="1:8">
      <c r="A24" s="1" t="s">
        <v>95</v>
      </c>
      <c r="B24" s="1"/>
      <c r="C24" s="3">
        <f>[1]CO99!$E$65</f>
        <v>0</v>
      </c>
      <c r="D24" s="2"/>
      <c r="E24" s="3">
        <f>[1]CO99!$G$65</f>
        <v>0</v>
      </c>
      <c r="F24" s="542"/>
      <c r="G24" s="542"/>
      <c r="H24" s="3">
        <f>[1]CO99!$J$65</f>
        <v>0</v>
      </c>
    </row>
    <row r="25" spans="1:8">
      <c r="A25" s="1" t="s">
        <v>170</v>
      </c>
      <c r="B25" s="1"/>
      <c r="C25" s="3">
        <f>[1]CO99!$E$66</f>
        <v>0</v>
      </c>
      <c r="D25" s="2"/>
      <c r="E25" s="3">
        <f>[1]CO99!$G$66</f>
        <v>0</v>
      </c>
      <c r="F25" s="542"/>
      <c r="G25" s="542"/>
      <c r="H25" s="3">
        <f>[1]CO99!$J$66</f>
        <v>0</v>
      </c>
    </row>
    <row r="26" spans="1:8" ht="15" customHeight="1">
      <c r="A26" s="1" t="str">
        <f>SUMEXPEN!B1394</f>
        <v>Recreation Commission</v>
      </c>
      <c r="B26" s="1"/>
      <c r="C26" s="3">
        <f>[1]CO99!$E$67</f>
        <v>2.266</v>
      </c>
      <c r="D26" s="2"/>
      <c r="E26" s="3">
        <f>[1]CO99!$G$67</f>
        <v>2.3410000000000002</v>
      </c>
      <c r="F26" s="542"/>
      <c r="G26" s="542"/>
      <c r="H26" s="3">
        <f>[1]CO99!$J$67</f>
        <v>2</v>
      </c>
    </row>
    <row r="27" spans="1:8" hidden="1">
      <c r="A27" s="45"/>
      <c r="B27" s="45"/>
      <c r="C27" s="53"/>
      <c r="D27" s="2"/>
      <c r="E27" s="53"/>
      <c r="F27" s="542"/>
      <c r="G27" s="542"/>
      <c r="H27" s="53"/>
    </row>
    <row r="28" spans="1:8">
      <c r="A28" s="44" t="str">
        <f>SUMEXPEN!B1395</f>
        <v>Rec Comm Employee Bnfts</v>
      </c>
      <c r="B28" s="44"/>
      <c r="C28" s="54">
        <f>[1]CO99!$E$68</f>
        <v>0</v>
      </c>
      <c r="D28" s="2"/>
      <c r="E28" s="54">
        <f>[1]CO99!$G$68</f>
        <v>0</v>
      </c>
      <c r="F28" s="542"/>
      <c r="G28" s="542"/>
      <c r="H28" s="54">
        <f>[1]CO99!$J$68</f>
        <v>0</v>
      </c>
    </row>
    <row r="29" spans="1:8">
      <c r="A29" s="51" t="s">
        <v>91</v>
      </c>
      <c r="B29" s="1"/>
      <c r="C29" s="52">
        <f>SUM(C23:C28)</f>
        <v>2.266</v>
      </c>
      <c r="D29" s="2"/>
      <c r="E29" s="52">
        <f>SUM(E23:E28)</f>
        <v>2.3410000000000002</v>
      </c>
      <c r="F29" s="542"/>
      <c r="G29" s="542"/>
      <c r="H29" s="52">
        <f>SUM(H23:H28)</f>
        <v>2</v>
      </c>
    </row>
  </sheetData>
  <sheetProtection algorithmName="SHA-512" hashValue="zVYPRs+muarYxyF2O0u/NHqtF2tBp1baEpZxWitBj2rgtfUErO3rR2dxzWD2u5Rx03XvnjPej18Bq+M+0V1ryQ==" saltValue="NHy0wTbDeWszINd4+DCQWA==" spinCount="100000" sheet="1" objects="1" scenarios="1"/>
  <customSheetViews>
    <customSheetView guid="{C7C7AC58-22C5-451E-8108-D7214AD66698}" showPageBreaks="1" printArea="1" state="hidden">
      <pageMargins left="0.7" right="0.7" top="0.75" bottom="0.75" header="0.3" footer="0.3"/>
      <pageSetup orientation="portrait" r:id="rId1"/>
      <headerFooter>
        <oddHeader>&amp;CIntentionally left blank</oddHeader>
      </headerFooter>
    </customSheetView>
  </customSheetViews>
  <pageMargins left="0.7" right="0.7" top="0.75" bottom="0.75" header="0.3" footer="0.3"/>
  <pageSetup orientation="portrait" r:id="rId2"/>
  <headerFooter>
    <oddHeader>&amp;CIntentionally left blank</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FF0000"/>
  </sheetPr>
  <dimension ref="B1:O132"/>
  <sheetViews>
    <sheetView workbookViewId="0">
      <selection activeCell="B1" sqref="B1"/>
    </sheetView>
  </sheetViews>
  <sheetFormatPr defaultColWidth="9.140625" defaultRowHeight="14.25"/>
  <cols>
    <col min="1" max="1" width="2.140625" style="80" customWidth="1"/>
    <col min="2" max="2" width="34.42578125" style="80" bestFit="1" customWidth="1"/>
    <col min="3" max="4" width="13.7109375" style="80" customWidth="1"/>
    <col min="5" max="5" width="15.140625" style="80" bestFit="1" customWidth="1"/>
    <col min="6" max="6" width="10.85546875" style="80" bestFit="1" customWidth="1"/>
    <col min="7" max="7" width="12.85546875" style="80" customWidth="1"/>
    <col min="8" max="8" width="15.140625" style="80" bestFit="1" customWidth="1"/>
    <col min="9" max="9" width="7.42578125" style="80" bestFit="1" customWidth="1"/>
    <col min="10" max="10" width="12.140625" style="80" customWidth="1"/>
    <col min="11" max="11" width="15.140625" style="80" bestFit="1" customWidth="1"/>
    <col min="12" max="12" width="25" style="80" bestFit="1" customWidth="1"/>
    <col min="13" max="14" width="11" style="80" bestFit="1" customWidth="1"/>
    <col min="15" max="15" width="11.140625" style="80" bestFit="1" customWidth="1"/>
    <col min="16" max="16384" width="9.140625" style="80"/>
  </cols>
  <sheetData>
    <row r="1" spans="2:7">
      <c r="F1" s="488"/>
      <c r="G1" s="6"/>
    </row>
    <row r="2" spans="2:7" ht="18">
      <c r="B2" s="489" t="s">
        <v>126</v>
      </c>
      <c r="C2" s="142"/>
      <c r="D2" s="142"/>
      <c r="E2" s="142"/>
    </row>
    <row r="3" spans="2:7" ht="15.75" customHeight="1">
      <c r="B3" s="489"/>
      <c r="C3" s="142"/>
      <c r="D3" s="142"/>
      <c r="E3" s="142"/>
    </row>
    <row r="4" spans="2:7">
      <c r="B4" s="2"/>
      <c r="C4" s="490" t="str">
        <f>SUMEXPEN!D4</f>
        <v>2023-2024</v>
      </c>
      <c r="D4" s="490" t="str">
        <f>SUMEXPEN!$F$4</f>
        <v>2024-2025</v>
      </c>
      <c r="E4" s="490" t="str">
        <f>SUMEXPEN!$I$4</f>
        <v>2025-2026</v>
      </c>
    </row>
    <row r="5" spans="2:7" ht="15" thickBot="1">
      <c r="B5" s="2"/>
      <c r="C5" s="491" t="s">
        <v>5</v>
      </c>
      <c r="D5" s="491" t="s">
        <v>5</v>
      </c>
      <c r="E5" s="491" t="s">
        <v>6</v>
      </c>
    </row>
    <row r="6" spans="2:7">
      <c r="B6" s="152" t="s">
        <v>8</v>
      </c>
      <c r="C6" s="492">
        <f>SUMEXPEN!$D$359</f>
        <v>938685</v>
      </c>
      <c r="D6" s="492">
        <f>SUMEXPEN!$F$359</f>
        <v>1968697</v>
      </c>
      <c r="E6" s="492">
        <f>SUMEXPEN!$J$359</f>
        <v>1412804</v>
      </c>
    </row>
    <row r="7" spans="2:7">
      <c r="B7" s="160" t="s">
        <v>10</v>
      </c>
      <c r="C7" s="493">
        <f>SUMEXPEN!$D$423</f>
        <v>2063</v>
      </c>
      <c r="D7" s="493">
        <f>SUMEXPEN!$F$423</f>
        <v>267</v>
      </c>
      <c r="E7" s="493">
        <f>SUMEXPEN!$J$423</f>
        <v>0</v>
      </c>
    </row>
    <row r="8" spans="2:7">
      <c r="B8" s="152" t="s">
        <v>11</v>
      </c>
      <c r="C8" s="494">
        <f>SUMEXPEN!$D$487</f>
        <v>1258</v>
      </c>
      <c r="D8" s="494">
        <f>SUMEXPEN!$F$487</f>
        <v>240</v>
      </c>
      <c r="E8" s="494">
        <f>SUMEXPEN!$J$487</f>
        <v>100</v>
      </c>
    </row>
    <row r="9" spans="2:7">
      <c r="B9" s="160" t="s">
        <v>131</v>
      </c>
      <c r="C9" s="493">
        <f>SUMEXPEN!$D$552+SUMEXPEN!$D$616+SUMEXPEN!$D$680</f>
        <v>256195</v>
      </c>
      <c r="D9" s="493">
        <f>SUMEXPEN!$F$552+SUMEXPEN!$F$616+SUMEXPEN!$F$680</f>
        <v>263732</v>
      </c>
      <c r="E9" s="493">
        <f>SUMEXPEN!$J$552+SUMEXPEN!$J$616+SUMEXPEN!$J$680</f>
        <v>266917</v>
      </c>
    </row>
    <row r="10" spans="2:7">
      <c r="B10" s="152" t="s">
        <v>12</v>
      </c>
      <c r="C10" s="494">
        <f>SUMEXPEN!$D$744</f>
        <v>397475</v>
      </c>
      <c r="D10" s="494">
        <f>SUMEXPEN!$F$744</f>
        <v>693565</v>
      </c>
      <c r="E10" s="494">
        <f>SUMEXPEN!$J$744</f>
        <v>624676</v>
      </c>
    </row>
    <row r="11" spans="2:7">
      <c r="B11" s="160" t="s">
        <v>13</v>
      </c>
      <c r="C11" s="493">
        <f>SUMEXPEN!$D$808</f>
        <v>54953</v>
      </c>
      <c r="D11" s="493">
        <f>SUMEXPEN!$F$808</f>
        <v>58431</v>
      </c>
      <c r="E11" s="493">
        <f>SUMEXPEN!$J$808</f>
        <v>191507</v>
      </c>
    </row>
    <row r="12" spans="2:7">
      <c r="B12" s="152" t="s">
        <v>14</v>
      </c>
      <c r="C12" s="494">
        <f>SUMEXPEN!$D$936</f>
        <v>122157</v>
      </c>
      <c r="D12" s="494">
        <f>SUMEXPEN!$F$936</f>
        <v>133439</v>
      </c>
      <c r="E12" s="494">
        <f>SUMEXPEN!$J$936</f>
        <v>129500</v>
      </c>
    </row>
    <row r="13" spans="2:7">
      <c r="B13" s="160" t="s">
        <v>15</v>
      </c>
      <c r="C13" s="493">
        <f>SUMEXPEN!$D$1065</f>
        <v>39926</v>
      </c>
      <c r="D13" s="493">
        <f>SUMEXPEN!$F$1065</f>
        <v>0</v>
      </c>
      <c r="E13" s="493">
        <f>SUMEXPEN!$J$1065</f>
        <v>25000</v>
      </c>
    </row>
    <row r="14" spans="2:7">
      <c r="B14" s="152" t="s">
        <v>16</v>
      </c>
      <c r="C14" s="494">
        <f>SUMEXPEN!$D$1129</f>
        <v>153725</v>
      </c>
      <c r="D14" s="494">
        <f>SUMEXPEN!$F$1129</f>
        <v>154900</v>
      </c>
      <c r="E14" s="494">
        <f>SUMEXPEN!$J$1129</f>
        <v>154900</v>
      </c>
    </row>
    <row r="15" spans="2:7" ht="15" thickBot="1">
      <c r="B15" s="169" t="s">
        <v>17</v>
      </c>
      <c r="C15" s="495">
        <f>SUMEXPEN!$D$872+SUMEXPEN!$D$1000</f>
        <v>7174</v>
      </c>
      <c r="D15" s="495">
        <f>SUMEXPEN!$F$872+SUMEXPEN!$F$1000</f>
        <v>219</v>
      </c>
      <c r="E15" s="495">
        <f>SUMEXPEN!$J$872+SUMEXPEN!$J$1000</f>
        <v>0</v>
      </c>
    </row>
    <row r="16" spans="2:7" ht="15.75" thickTop="1">
      <c r="B16" s="496" t="s">
        <v>192</v>
      </c>
      <c r="C16" s="497">
        <f>SUMEXPEN!$D$16</f>
        <v>1973611</v>
      </c>
      <c r="D16" s="497">
        <f>SUMEXPEN!$F$16</f>
        <v>3273490</v>
      </c>
      <c r="E16" s="497">
        <f>SUMEXPEN!$I$16</f>
        <v>2805404</v>
      </c>
    </row>
    <row r="17" spans="3:15">
      <c r="C17" s="4"/>
    </row>
    <row r="18" spans="3:15">
      <c r="C18" s="4"/>
    </row>
    <row r="19" spans="3:15">
      <c r="C19" s="4"/>
    </row>
    <row r="20" spans="3:15">
      <c r="C20" s="4"/>
      <c r="L20" s="2"/>
      <c r="M20" s="46" t="str">
        <f>C4</f>
        <v>2023-2024</v>
      </c>
      <c r="N20" s="46" t="str">
        <f>D4</f>
        <v>2024-2025</v>
      </c>
      <c r="O20" s="46" t="str">
        <f>E4</f>
        <v>2025-2026</v>
      </c>
    </row>
    <row r="21" spans="3:15">
      <c r="C21" s="4"/>
      <c r="L21" s="2" t="str">
        <f t="shared" ref="L21:L30" si="0">IF(AND($C6&lt;=0,$D6&lt;=0,$E6&lt;=0),"",$B6)</f>
        <v>Instruction</v>
      </c>
      <c r="M21" s="498">
        <f t="shared" ref="M21:M31" si="1">IF(AND($C6&lt;=0,$D6&lt;=0,$E6&lt;=0),#N/A,IF(C6&lt;=0,0,C6))</f>
        <v>938685</v>
      </c>
      <c r="N21" s="498">
        <f t="shared" ref="N21:N31" si="2">IF(AND($C6&lt;=0,$D6&lt;=0,$E6&lt;=0),#N/A,IF(D6&lt;=0,0,D6))</f>
        <v>1968697</v>
      </c>
      <c r="O21" s="498">
        <f t="shared" ref="O21:O31" si="3">IF(AND($C6&lt;=0,$D6&lt;=0,$E6&lt;=0),#N/A,IF(E6&lt;=0,0,E6))</f>
        <v>1412804</v>
      </c>
    </row>
    <row r="22" spans="3:15">
      <c r="C22" s="4"/>
      <c r="L22" s="2" t="str">
        <f t="shared" si="0"/>
        <v>Student Support</v>
      </c>
      <c r="M22" s="498">
        <f t="shared" si="1"/>
        <v>2063</v>
      </c>
      <c r="N22" s="498">
        <f t="shared" si="2"/>
        <v>267</v>
      </c>
      <c r="O22" s="498">
        <f t="shared" si="3"/>
        <v>0</v>
      </c>
    </row>
    <row r="23" spans="3:15">
      <c r="C23" s="4"/>
      <c r="L23" s="2" t="str">
        <f t="shared" si="0"/>
        <v>Instructional Support</v>
      </c>
      <c r="M23" s="498">
        <f t="shared" si="1"/>
        <v>1258</v>
      </c>
      <c r="N23" s="498">
        <f t="shared" si="2"/>
        <v>240</v>
      </c>
      <c r="O23" s="498">
        <f t="shared" si="3"/>
        <v>100</v>
      </c>
    </row>
    <row r="24" spans="3:15">
      <c r="C24" s="4"/>
      <c r="L24" s="2" t="str">
        <f t="shared" si="0"/>
        <v>Administration &amp; Support</v>
      </c>
      <c r="M24" s="498">
        <f t="shared" si="1"/>
        <v>256195</v>
      </c>
      <c r="N24" s="498">
        <f t="shared" si="2"/>
        <v>263732</v>
      </c>
      <c r="O24" s="498">
        <f t="shared" si="3"/>
        <v>266917</v>
      </c>
    </row>
    <row r="25" spans="3:15">
      <c r="C25" s="4"/>
      <c r="L25" s="2" t="str">
        <f t="shared" si="0"/>
        <v>Operations &amp; Maintenance</v>
      </c>
      <c r="M25" s="498">
        <f t="shared" si="1"/>
        <v>397475</v>
      </c>
      <c r="N25" s="498">
        <f t="shared" si="2"/>
        <v>693565</v>
      </c>
      <c r="O25" s="498">
        <f t="shared" si="3"/>
        <v>624676</v>
      </c>
    </row>
    <row r="26" spans="3:15">
      <c r="C26" s="4"/>
      <c r="L26" s="2" t="str">
        <f t="shared" si="0"/>
        <v>Transportation</v>
      </c>
      <c r="M26" s="498">
        <f t="shared" si="1"/>
        <v>54953</v>
      </c>
      <c r="N26" s="498">
        <f t="shared" si="2"/>
        <v>58431</v>
      </c>
      <c r="O26" s="498">
        <f t="shared" si="3"/>
        <v>191507</v>
      </c>
    </row>
    <row r="27" spans="3:15">
      <c r="C27" s="4"/>
      <c r="L27" s="2" t="str">
        <f t="shared" si="0"/>
        <v>Food Services</v>
      </c>
      <c r="M27" s="498">
        <f t="shared" si="1"/>
        <v>122157</v>
      </c>
      <c r="N27" s="498">
        <f t="shared" si="2"/>
        <v>133439</v>
      </c>
      <c r="O27" s="498">
        <f t="shared" si="3"/>
        <v>129500</v>
      </c>
    </row>
    <row r="28" spans="3:15">
      <c r="C28" s="4"/>
      <c r="L28" s="2" t="str">
        <f t="shared" si="0"/>
        <v>Capital Improvements</v>
      </c>
      <c r="M28" s="498">
        <f t="shared" si="1"/>
        <v>39926</v>
      </c>
      <c r="N28" s="498">
        <f t="shared" si="2"/>
        <v>0</v>
      </c>
      <c r="O28" s="498">
        <f t="shared" si="3"/>
        <v>25000</v>
      </c>
    </row>
    <row r="29" spans="3:15">
      <c r="C29" s="4"/>
      <c r="L29" s="2" t="str">
        <f t="shared" si="0"/>
        <v>Debt Services</v>
      </c>
      <c r="M29" s="498">
        <f t="shared" si="1"/>
        <v>153725</v>
      </c>
      <c r="N29" s="498">
        <f t="shared" si="2"/>
        <v>154900</v>
      </c>
      <c r="O29" s="498">
        <f t="shared" si="3"/>
        <v>154900</v>
      </c>
    </row>
    <row r="30" spans="3:15">
      <c r="C30" s="4"/>
      <c r="L30" s="2" t="str">
        <f t="shared" si="0"/>
        <v>Other Costs</v>
      </c>
      <c r="M30" s="498">
        <f t="shared" si="1"/>
        <v>7174</v>
      </c>
      <c r="N30" s="498">
        <f t="shared" si="2"/>
        <v>219</v>
      </c>
      <c r="O30" s="498">
        <f t="shared" si="3"/>
        <v>0</v>
      </c>
    </row>
    <row r="31" spans="3:15">
      <c r="C31" s="4"/>
      <c r="L31" s="2" t="str">
        <f>IF(AND($C16&lt;=0,$D16&lt;=0,$E16&lt;=0),"",LEFT($B16,LEN($B16)-1))</f>
        <v>Total Expenditures</v>
      </c>
      <c r="M31" s="498">
        <f t="shared" si="1"/>
        <v>1973611</v>
      </c>
      <c r="N31" s="498">
        <f t="shared" si="2"/>
        <v>3273490</v>
      </c>
      <c r="O31" s="498">
        <f t="shared" si="3"/>
        <v>2805404</v>
      </c>
    </row>
    <row r="32" spans="3:15">
      <c r="C32" s="4"/>
    </row>
    <row r="33" spans="2:13">
      <c r="C33" s="4"/>
    </row>
    <row r="34" spans="2:13">
      <c r="C34" s="4"/>
    </row>
    <row r="35" spans="2:13">
      <c r="C35" s="4"/>
    </row>
    <row r="36" spans="2:13">
      <c r="C36" s="4"/>
    </row>
    <row r="37" spans="2:13">
      <c r="C37" s="4"/>
    </row>
    <row r="38" spans="2:13">
      <c r="C38" s="4"/>
    </row>
    <row r="39" spans="2:13">
      <c r="C39" s="4"/>
    </row>
    <row r="40" spans="2:13">
      <c r="I40" s="499"/>
      <c r="J40" s="499"/>
      <c r="K40" s="499"/>
      <c r="L40" s="499"/>
      <c r="M40" s="499"/>
    </row>
    <row r="42" spans="2:13">
      <c r="C42" s="4"/>
    </row>
    <row r="43" spans="2:13">
      <c r="C43" s="4"/>
      <c r="F43" s="488"/>
      <c r="G43" s="6"/>
    </row>
    <row r="44" spans="2:13" ht="18">
      <c r="B44" s="959" t="s">
        <v>153</v>
      </c>
      <c r="C44" s="959"/>
      <c r="D44" s="959"/>
      <c r="E44" s="959"/>
      <c r="F44" s="142"/>
      <c r="G44" s="142"/>
      <c r="H44" s="142"/>
    </row>
    <row r="45" spans="2:13" ht="18">
      <c r="B45" s="959" t="s">
        <v>163</v>
      </c>
      <c r="C45" s="959"/>
      <c r="D45" s="959"/>
      <c r="E45" s="959"/>
      <c r="F45" s="500"/>
      <c r="G45" s="142"/>
      <c r="H45" s="142"/>
    </row>
    <row r="46" spans="2:13" ht="15">
      <c r="F46" s="500"/>
      <c r="G46" s="142"/>
      <c r="H46" s="142"/>
    </row>
    <row r="47" spans="2:13" ht="15" customHeight="1">
      <c r="C47" s="490" t="str">
        <f>SUMEXPEN!D4</f>
        <v>2023-2024</v>
      </c>
      <c r="D47" s="490" t="str">
        <f>SUMEXPEN!F4</f>
        <v>2024-2025</v>
      </c>
      <c r="E47" s="490" t="str">
        <f>SUMEXPEN!I4</f>
        <v>2025-2026</v>
      </c>
      <c r="G47" s="982" t="str">
        <f>SUMEXPEN!B24</f>
        <v>1.  Funds Included: (06) General, (07) Federal Funds, (08) Supplemental General, (10) Adult Education, (11) Preschool-Aged At-Risk, (12) Adult Supplemental Education,
     (13) At-Risk Education Fund, (14) Bilingual Education, (15) Virtual Education, (16) Capital Outlay, (18) Driver Education, (22) Extraordinary School Program, (26) Professional Development, 
     (28) Parent Education, (29) Summer School, (30) Special Education, (34) Career and Postsecondary Education, (35) Gifts &amp; Grants, (42) Special Liability Expense, 
     (44) School Retirement, (51) KPERS Special Retirement Contribution, (53) Contingency Reserve, (55) Textbook &amp; Student Material Revolving, (56) Activity Fund, (62) Bond &amp;
     Interest #1, (63) Bond &amp; Interest #2, (66) No-Fund Warrant, (67) Special Assessment, and (78) Special Education Coop Fund.
     Note: The Budgeted Total Expenditures may not match Code 99 due to budgeted transfers from (06) General and (08) Supplemental General to (53) Contingency Reserve 
     and (55) Textbook &amp; Student Material Revolving, which are not budgeted funds.</v>
      </c>
      <c r="H47" s="982"/>
      <c r="I47" s="982"/>
      <c r="J47" s="982"/>
    </row>
    <row r="48" spans="2:13" ht="15" customHeight="1" thickBot="1">
      <c r="C48" s="491" t="s">
        <v>5</v>
      </c>
      <c r="D48" s="491" t="s">
        <v>5</v>
      </c>
      <c r="E48" s="491" t="s">
        <v>6</v>
      </c>
      <c r="G48" s="982"/>
      <c r="H48" s="982"/>
      <c r="I48" s="982"/>
      <c r="J48" s="982"/>
    </row>
    <row r="49" spans="2:15">
      <c r="B49" s="152" t="s">
        <v>8</v>
      </c>
      <c r="C49" s="492">
        <f>C6/C60</f>
        <v>13277</v>
      </c>
      <c r="D49" s="492">
        <f>D6/D60</f>
        <v>23863</v>
      </c>
      <c r="E49" s="492">
        <f>E6/E60</f>
        <v>20183</v>
      </c>
      <c r="G49" s="982"/>
      <c r="H49" s="982"/>
      <c r="I49" s="982"/>
      <c r="J49" s="982"/>
    </row>
    <row r="50" spans="2:15">
      <c r="B50" s="160" t="s">
        <v>10</v>
      </c>
      <c r="C50" s="493">
        <f>C7/C60</f>
        <v>29</v>
      </c>
      <c r="D50" s="493">
        <f>D7/D60</f>
        <v>3</v>
      </c>
      <c r="E50" s="493">
        <f>E7/E60</f>
        <v>0</v>
      </c>
      <c r="G50" s="982"/>
      <c r="H50" s="982"/>
      <c r="I50" s="982"/>
      <c r="J50" s="982"/>
    </row>
    <row r="51" spans="2:15">
      <c r="B51" s="152" t="s">
        <v>11</v>
      </c>
      <c r="C51" s="494">
        <f>C8/C60</f>
        <v>18</v>
      </c>
      <c r="D51" s="494">
        <f>D8/D60</f>
        <v>3</v>
      </c>
      <c r="E51" s="494">
        <f>E8/E60</f>
        <v>1</v>
      </c>
      <c r="G51" s="982"/>
      <c r="H51" s="982"/>
      <c r="I51" s="982"/>
      <c r="J51" s="982"/>
    </row>
    <row r="52" spans="2:15">
      <c r="B52" s="160" t="s">
        <v>131</v>
      </c>
      <c r="C52" s="493">
        <f>C9/C60</f>
        <v>3624</v>
      </c>
      <c r="D52" s="493">
        <f>D9/D60</f>
        <v>3197</v>
      </c>
      <c r="E52" s="493">
        <f>E9/E60</f>
        <v>3813</v>
      </c>
      <c r="G52" s="982"/>
      <c r="H52" s="982"/>
      <c r="I52" s="982"/>
      <c r="J52" s="982"/>
    </row>
    <row r="53" spans="2:15">
      <c r="B53" s="152" t="s">
        <v>12</v>
      </c>
      <c r="C53" s="494">
        <f>C10/C60</f>
        <v>5622</v>
      </c>
      <c r="D53" s="494">
        <f>D10/D60</f>
        <v>8407</v>
      </c>
      <c r="E53" s="494">
        <f>E10/E60</f>
        <v>8924</v>
      </c>
      <c r="G53" s="982"/>
      <c r="H53" s="982"/>
      <c r="I53" s="982"/>
      <c r="J53" s="982"/>
    </row>
    <row r="54" spans="2:15">
      <c r="B54" s="160" t="s">
        <v>13</v>
      </c>
      <c r="C54" s="493">
        <f>C11/C60</f>
        <v>777</v>
      </c>
      <c r="D54" s="493">
        <f>D11/D60</f>
        <v>708</v>
      </c>
      <c r="E54" s="493">
        <f>E11/E60</f>
        <v>2736</v>
      </c>
      <c r="G54" s="982"/>
      <c r="H54" s="982"/>
      <c r="I54" s="982"/>
      <c r="J54" s="982"/>
    </row>
    <row r="55" spans="2:15">
      <c r="B55" s="152" t="s">
        <v>14</v>
      </c>
      <c r="C55" s="494">
        <f>C12/C60</f>
        <v>1728</v>
      </c>
      <c r="D55" s="494">
        <f>D12/D60</f>
        <v>1617</v>
      </c>
      <c r="E55" s="494">
        <f>E12/E60</f>
        <v>1850</v>
      </c>
      <c r="G55" s="982"/>
      <c r="H55" s="982"/>
      <c r="I55" s="982"/>
      <c r="J55" s="982"/>
    </row>
    <row r="56" spans="2:15">
      <c r="B56" s="160" t="s">
        <v>15</v>
      </c>
      <c r="C56" s="493">
        <f>C13/C60</f>
        <v>565</v>
      </c>
      <c r="D56" s="493">
        <f>D13/D60</f>
        <v>0</v>
      </c>
      <c r="E56" s="493">
        <f>E13/E60</f>
        <v>357</v>
      </c>
      <c r="G56" s="982"/>
      <c r="H56" s="982"/>
      <c r="I56" s="982"/>
      <c r="J56" s="982"/>
    </row>
    <row r="57" spans="2:15">
      <c r="B57" s="152" t="s">
        <v>16</v>
      </c>
      <c r="C57" s="494">
        <f>C14/C60</f>
        <v>2174</v>
      </c>
      <c r="D57" s="494">
        <f>D14/D60</f>
        <v>1878</v>
      </c>
      <c r="E57" s="494">
        <f>E14/E60</f>
        <v>2213</v>
      </c>
      <c r="G57" s="982"/>
      <c r="H57" s="982"/>
      <c r="I57" s="982"/>
      <c r="J57" s="982"/>
    </row>
    <row r="58" spans="2:15" ht="15" thickBot="1">
      <c r="B58" s="160" t="s">
        <v>17</v>
      </c>
      <c r="C58" s="495">
        <f>C15/C60</f>
        <v>101</v>
      </c>
      <c r="D58" s="495">
        <f>D15/D60</f>
        <v>3</v>
      </c>
      <c r="E58" s="495">
        <f>E15/E60</f>
        <v>0</v>
      </c>
      <c r="G58" s="982"/>
      <c r="H58" s="982"/>
      <c r="I58" s="982"/>
      <c r="J58" s="982"/>
    </row>
    <row r="59" spans="2:15" ht="15.75" thickTop="1">
      <c r="B59" s="501" t="s">
        <v>192</v>
      </c>
      <c r="C59" s="497">
        <f>SUMEXPEN!$D$17</f>
        <v>27915</v>
      </c>
      <c r="D59" s="497">
        <f>SUMEXPEN!$F$17</f>
        <v>39679</v>
      </c>
      <c r="E59" s="497">
        <f>SUMEXPEN!$I$17</f>
        <v>40077</v>
      </c>
      <c r="G59" s="982"/>
      <c r="H59" s="982"/>
      <c r="I59" s="982"/>
      <c r="J59" s="982"/>
    </row>
    <row r="60" spans="2:15" ht="15.75">
      <c r="B60" s="1" t="s">
        <v>193</v>
      </c>
      <c r="C60" s="502">
        <f>SUMEXPEN!$D$354</f>
        <v>70.7</v>
      </c>
      <c r="D60" s="502">
        <f>SUMEXPEN!$F$354</f>
        <v>82.5</v>
      </c>
      <c r="E60" s="502">
        <f>SUMEXPEN!$J$354</f>
        <v>70</v>
      </c>
      <c r="G60" s="982"/>
      <c r="H60" s="982"/>
      <c r="I60" s="982"/>
      <c r="J60" s="982"/>
    </row>
    <row r="62" spans="2:15" ht="34.5" customHeight="1">
      <c r="B62" s="865" t="s">
        <v>194</v>
      </c>
      <c r="C62" s="865"/>
      <c r="D62" s="865"/>
      <c r="E62" s="865"/>
      <c r="F62" s="865"/>
      <c r="G62" s="865"/>
      <c r="H62" s="865"/>
      <c r="I62" s="865"/>
      <c r="J62" s="865"/>
      <c r="K62" s="865"/>
      <c r="L62" s="159"/>
      <c r="M62" s="159"/>
      <c r="N62" s="159"/>
    </row>
    <row r="63" spans="2:15">
      <c r="K63" s="2"/>
      <c r="L63" s="159"/>
      <c r="M63" s="159"/>
      <c r="N63" s="159"/>
    </row>
    <row r="64" spans="2:15">
      <c r="L64" s="2"/>
      <c r="M64" s="159" t="str">
        <f>C47</f>
        <v>2023-2024</v>
      </c>
      <c r="N64" s="159" t="str">
        <f>D47</f>
        <v>2024-2025</v>
      </c>
      <c r="O64" s="159" t="str">
        <f>E47</f>
        <v>2025-2026</v>
      </c>
    </row>
    <row r="65" spans="12:15">
      <c r="L65" s="2" t="str">
        <f t="shared" ref="L65:L74" si="4">IF(AND($C49&lt;=0,$D49&lt;=0,$E49&lt;=0),"",$B49)</f>
        <v>Instruction</v>
      </c>
      <c r="M65" s="498">
        <f t="shared" ref="M65:M75" si="5">IF(AND($C49&lt;=0,$D49&lt;=0,$E49&lt;=0),#N/A,IF(C49&lt;=0,0,C49))</f>
        <v>13277</v>
      </c>
      <c r="N65" s="498">
        <f t="shared" ref="N65:N75" si="6">IF(AND($C49&lt;=0,$D49&lt;=0,$E49&lt;=0),#N/A,IF(D49&lt;=0,0,D49))</f>
        <v>23863</v>
      </c>
      <c r="O65" s="498">
        <f t="shared" ref="O65:O75" si="7">IF(AND($C49&lt;=0,$D49&lt;=0,$E49&lt;=0),#N/A,IF(E49&lt;=0,0,E49))</f>
        <v>20183</v>
      </c>
    </row>
    <row r="66" spans="12:15">
      <c r="L66" s="2" t="str">
        <f t="shared" si="4"/>
        <v>Student Support</v>
      </c>
      <c r="M66" s="498">
        <f t="shared" si="5"/>
        <v>29</v>
      </c>
      <c r="N66" s="498">
        <f t="shared" si="6"/>
        <v>3</v>
      </c>
      <c r="O66" s="498">
        <f t="shared" si="7"/>
        <v>0</v>
      </c>
    </row>
    <row r="67" spans="12:15">
      <c r="L67" s="2" t="str">
        <f t="shared" si="4"/>
        <v>Instructional Support</v>
      </c>
      <c r="M67" s="498">
        <f t="shared" si="5"/>
        <v>18</v>
      </c>
      <c r="N67" s="498">
        <f t="shared" si="6"/>
        <v>3</v>
      </c>
      <c r="O67" s="498">
        <f t="shared" si="7"/>
        <v>1</v>
      </c>
    </row>
    <row r="68" spans="12:15">
      <c r="L68" s="2" t="str">
        <f t="shared" si="4"/>
        <v>Administration &amp; Support</v>
      </c>
      <c r="M68" s="498">
        <f t="shared" si="5"/>
        <v>3624</v>
      </c>
      <c r="N68" s="498">
        <f t="shared" si="6"/>
        <v>3197</v>
      </c>
      <c r="O68" s="498">
        <f t="shared" si="7"/>
        <v>3813</v>
      </c>
    </row>
    <row r="69" spans="12:15">
      <c r="L69" s="2" t="str">
        <f t="shared" si="4"/>
        <v>Operations &amp; Maintenance</v>
      </c>
      <c r="M69" s="498">
        <f t="shared" si="5"/>
        <v>5622</v>
      </c>
      <c r="N69" s="498">
        <f t="shared" si="6"/>
        <v>8407</v>
      </c>
      <c r="O69" s="498">
        <f t="shared" si="7"/>
        <v>8924</v>
      </c>
    </row>
    <row r="70" spans="12:15">
      <c r="L70" s="2" t="str">
        <f t="shared" si="4"/>
        <v>Transportation</v>
      </c>
      <c r="M70" s="498">
        <f t="shared" si="5"/>
        <v>777</v>
      </c>
      <c r="N70" s="498">
        <f t="shared" si="6"/>
        <v>708</v>
      </c>
      <c r="O70" s="498">
        <f t="shared" si="7"/>
        <v>2736</v>
      </c>
    </row>
    <row r="71" spans="12:15">
      <c r="L71" s="2" t="str">
        <f t="shared" si="4"/>
        <v>Food Services</v>
      </c>
      <c r="M71" s="498">
        <f t="shared" si="5"/>
        <v>1728</v>
      </c>
      <c r="N71" s="498">
        <f t="shared" si="6"/>
        <v>1617</v>
      </c>
      <c r="O71" s="498">
        <f t="shared" si="7"/>
        <v>1850</v>
      </c>
    </row>
    <row r="72" spans="12:15">
      <c r="L72" s="2" t="str">
        <f t="shared" si="4"/>
        <v>Capital Improvements</v>
      </c>
      <c r="M72" s="498">
        <f t="shared" si="5"/>
        <v>565</v>
      </c>
      <c r="N72" s="498">
        <f t="shared" si="6"/>
        <v>0</v>
      </c>
      <c r="O72" s="498">
        <f t="shared" si="7"/>
        <v>357</v>
      </c>
    </row>
    <row r="73" spans="12:15">
      <c r="L73" s="139" t="str">
        <f t="shared" si="4"/>
        <v>Debt Services</v>
      </c>
      <c r="M73" s="503">
        <f t="shared" si="5"/>
        <v>2174</v>
      </c>
      <c r="N73" s="503">
        <f t="shared" si="6"/>
        <v>1878</v>
      </c>
      <c r="O73" s="503">
        <f t="shared" si="7"/>
        <v>2213</v>
      </c>
    </row>
    <row r="74" spans="12:15">
      <c r="L74" s="139" t="str">
        <f t="shared" si="4"/>
        <v>Other Costs</v>
      </c>
      <c r="M74" s="503">
        <f t="shared" si="5"/>
        <v>101</v>
      </c>
      <c r="N74" s="503">
        <f t="shared" si="6"/>
        <v>3</v>
      </c>
      <c r="O74" s="503">
        <f t="shared" si="7"/>
        <v>0</v>
      </c>
    </row>
    <row r="75" spans="12:15">
      <c r="L75" s="139" t="str">
        <f>IF(AND($C59&lt;=0,$D59&lt;=0,$E59&lt;=0),"",LEFT($B59,LEN($B59)-1))</f>
        <v>Total Expenditures</v>
      </c>
      <c r="M75" s="503">
        <f t="shared" si="5"/>
        <v>27915</v>
      </c>
      <c r="N75" s="503">
        <f t="shared" si="6"/>
        <v>39679</v>
      </c>
      <c r="O75" s="503">
        <f t="shared" si="7"/>
        <v>40077</v>
      </c>
    </row>
    <row r="84" spans="2:14">
      <c r="D84" s="504"/>
      <c r="E84" s="504"/>
      <c r="F84" s="504"/>
      <c r="G84" s="504"/>
      <c r="H84" s="504"/>
    </row>
    <row r="89" spans="2:14" ht="15.75">
      <c r="C89" s="60"/>
      <c r="D89" s="60"/>
      <c r="E89" s="60"/>
      <c r="F89" s="60"/>
      <c r="G89" s="60"/>
      <c r="H89" s="60"/>
      <c r="I89" s="60"/>
      <c r="J89" s="60"/>
      <c r="K89" s="60"/>
      <c r="L89" s="60"/>
      <c r="M89" s="60"/>
      <c r="N89" s="60"/>
    </row>
    <row r="90" spans="2:14">
      <c r="B90" s="2"/>
      <c r="C90" s="2"/>
      <c r="D90" s="2"/>
      <c r="E90" s="2"/>
      <c r="F90" s="2"/>
      <c r="G90" s="2"/>
      <c r="H90" s="2"/>
      <c r="I90" s="2"/>
      <c r="J90" s="2"/>
      <c r="K90" s="2"/>
      <c r="L90" s="2"/>
      <c r="M90" s="2"/>
      <c r="N90" s="2"/>
    </row>
    <row r="91" spans="2:14" ht="18">
      <c r="B91" s="906" t="s">
        <v>92</v>
      </c>
      <c r="C91" s="906"/>
      <c r="D91" s="906"/>
      <c r="E91" s="906"/>
      <c r="F91" s="906"/>
      <c r="G91" s="906"/>
      <c r="H91" s="906"/>
      <c r="I91" s="906"/>
      <c r="J91" s="906"/>
      <c r="K91" s="906"/>
      <c r="M91" s="2"/>
      <c r="N91" s="2"/>
    </row>
    <row r="92" spans="2:14">
      <c r="D92" s="59"/>
      <c r="F92" s="59"/>
      <c r="H92" s="59"/>
      <c r="J92" s="59"/>
    </row>
    <row r="93" spans="2:14">
      <c r="B93" s="2"/>
      <c r="C93" s="505" t="str">
        <f>SUMEXPEN!$D$1309</f>
        <v>2021-2022</v>
      </c>
      <c r="D93" s="505" t="str">
        <f>SUMEXPEN!$E$1309</f>
        <v>2022-2023</v>
      </c>
      <c r="E93" s="216" t="s">
        <v>2</v>
      </c>
      <c r="F93" s="505" t="str">
        <f>SUMEXPEN!$G$1309</f>
        <v>2023-2024</v>
      </c>
      <c r="G93" s="216" t="s">
        <v>2</v>
      </c>
      <c r="H93" s="505" t="str">
        <f>SUMEXPEN!$I$1309</f>
        <v>2024-2025</v>
      </c>
      <c r="I93" s="216" t="s">
        <v>2</v>
      </c>
      <c r="J93" s="505" t="str">
        <f>SUMEXPEN!$K$1309</f>
        <v>2025-2026</v>
      </c>
      <c r="K93" s="216" t="s">
        <v>2</v>
      </c>
    </row>
    <row r="94" spans="2:14">
      <c r="B94" s="2"/>
      <c r="C94" s="453" t="s">
        <v>5</v>
      </c>
      <c r="D94" s="453" t="s">
        <v>5</v>
      </c>
      <c r="E94" s="454" t="s">
        <v>144</v>
      </c>
      <c r="F94" s="453" t="s">
        <v>5</v>
      </c>
      <c r="G94" s="454" t="s">
        <v>144</v>
      </c>
      <c r="H94" s="453" t="s">
        <v>5</v>
      </c>
      <c r="I94" s="454" t="s">
        <v>144</v>
      </c>
      <c r="J94" s="453" t="s">
        <v>6</v>
      </c>
      <c r="K94" s="454" t="s">
        <v>144</v>
      </c>
    </row>
    <row r="95" spans="2:14">
      <c r="B95" s="223" t="str">
        <f>SUMEXPEN!$B$1311</f>
        <v>FTE Enrollment (excl. Virtual)¹</v>
      </c>
      <c r="C95" s="506">
        <f>SUMEXPEN!$D$1311</f>
        <v>99</v>
      </c>
      <c r="D95" s="506">
        <f>SUMEXPEN!$E$1311</f>
        <v>67.5</v>
      </c>
      <c r="E95" s="507">
        <f>IF(C95=0,0,((D95-C95)/C95))</f>
        <v>-0.32</v>
      </c>
      <c r="F95" s="506">
        <f>SUMEXPEN!$G$1311</f>
        <v>70.7</v>
      </c>
      <c r="G95" s="507">
        <f>IF(D95=0,0,((F95-D95)/D95))</f>
        <v>0.05</v>
      </c>
      <c r="H95" s="506">
        <f>SUMEXPEN!$I$1311</f>
        <v>82.5</v>
      </c>
      <c r="I95" s="507">
        <f>IF(F95=0,0,((H95-F95)/F95))</f>
        <v>0.17</v>
      </c>
      <c r="J95" s="508">
        <f>SUMEXPEN!$K$1311</f>
        <v>70</v>
      </c>
      <c r="K95" s="507">
        <f>IF(H95=0,0,((J95-H95)/H95))</f>
        <v>-0.15</v>
      </c>
    </row>
    <row r="96" spans="2:14">
      <c r="B96" s="1" t="s">
        <v>148</v>
      </c>
      <c r="C96" s="509">
        <f>SUMEXPEN!$D$1313</f>
        <v>40</v>
      </c>
      <c r="D96" s="509">
        <f>SUMEXPEN!$E$1313</f>
        <v>39</v>
      </c>
      <c r="E96" s="510">
        <f>IF(C96=0,0,((D96-C96)/C96))</f>
        <v>-0.03</v>
      </c>
      <c r="F96" s="509">
        <f>SUMEXPEN!$G$1313</f>
        <v>35</v>
      </c>
      <c r="G96" s="510">
        <f>IF(D96=0,0,((F96-D96)/D96))</f>
        <v>-0.1</v>
      </c>
      <c r="H96" s="509">
        <f>SUMEXPEN!$I$1313</f>
        <v>40</v>
      </c>
      <c r="I96" s="510">
        <f>IF(F96=0,0,((H96-F96)/F96))</f>
        <v>0.14000000000000001</v>
      </c>
      <c r="J96" s="509">
        <f>SUMEXPEN!$K$1313</f>
        <v>35</v>
      </c>
      <c r="K96" s="510">
        <f>IF(H96=0,0,((J96-H96)/H96))</f>
        <v>-0.13</v>
      </c>
    </row>
    <row r="97" spans="2:15">
      <c r="B97" s="223" t="s">
        <v>146</v>
      </c>
      <c r="C97" s="511">
        <f>SUMEXPEN!$D$1314</f>
        <v>25</v>
      </c>
      <c r="D97" s="511">
        <f>SUMEXPEN!$E$1314</f>
        <v>3</v>
      </c>
      <c r="E97" s="507">
        <f>IF(C97=0,0,((D97-C97)/C97))</f>
        <v>-0.88</v>
      </c>
      <c r="F97" s="511">
        <f>SUMEXPEN!$G$1314</f>
        <v>5</v>
      </c>
      <c r="G97" s="507">
        <f>IF(D97=0,0,((F97-D97)/D97))</f>
        <v>0.67</v>
      </c>
      <c r="H97" s="511">
        <f>SUMEXPEN!$I$1314</f>
        <v>10</v>
      </c>
      <c r="I97" s="507">
        <f>IF(F97=0,0,((H97-F97)/F97))</f>
        <v>1</v>
      </c>
      <c r="J97" s="511">
        <f>SUMEXPEN!$K$1314</f>
        <v>10</v>
      </c>
      <c r="K97" s="507">
        <f>IF(H97=0,0,((J97-H97)/H97))</f>
        <v>0</v>
      </c>
    </row>
    <row r="98" spans="2:15">
      <c r="B98" s="2"/>
      <c r="C98" s="512"/>
      <c r="D98" s="512"/>
      <c r="E98" s="201"/>
      <c r="F98" s="512"/>
      <c r="G98" s="201"/>
      <c r="H98" s="512"/>
      <c r="I98" s="201"/>
      <c r="J98" s="512"/>
      <c r="K98" s="201"/>
    </row>
    <row r="100" spans="2:15" ht="18">
      <c r="B100" s="897" t="s">
        <v>157</v>
      </c>
      <c r="C100" s="897"/>
      <c r="D100" s="897"/>
      <c r="E100" s="897"/>
      <c r="F100" s="897"/>
      <c r="G100" s="897"/>
      <c r="H100" s="897"/>
      <c r="I100" s="897"/>
      <c r="J100" s="897"/>
      <c r="K100" s="897"/>
    </row>
    <row r="102" spans="2:15">
      <c r="B102" s="513"/>
      <c r="C102" s="898" t="str">
        <f>[1]Salaries!$B$3</f>
        <v>2023-24 Actual</v>
      </c>
      <c r="D102" s="899"/>
      <c r="E102" s="900"/>
      <c r="F102" s="898" t="str">
        <f>[1]Salaries!$E$3</f>
        <v>2024-25 Actual</v>
      </c>
      <c r="G102" s="899"/>
      <c r="H102" s="900"/>
      <c r="I102" s="898" t="str">
        <f>[1]Salaries!$H$3</f>
        <v>2025-26 Contracted</v>
      </c>
      <c r="J102" s="899"/>
      <c r="K102" s="900"/>
    </row>
    <row r="103" spans="2:15">
      <c r="B103" s="514"/>
      <c r="C103" s="515" t="str">
        <f>[1]Salaries!$B$4</f>
        <v>FTE</v>
      </c>
      <c r="D103" s="515" t="str">
        <f>[1]Salaries!$C$4</f>
        <v>Total Salary</v>
      </c>
      <c r="E103" s="515" t="str">
        <f>[1]Salaries!$D$4</f>
        <v>Average Salary</v>
      </c>
      <c r="F103" s="515" t="str">
        <f>[1]Salaries!$E$4</f>
        <v>FTE</v>
      </c>
      <c r="G103" s="515" t="str">
        <f>[1]Salaries!$F$4</f>
        <v>Total Salary</v>
      </c>
      <c r="H103" s="515" t="str">
        <f>[1]Salaries!$G$4</f>
        <v>Average Salary</v>
      </c>
      <c r="I103" s="515" t="str">
        <f>[1]Salaries!$H$4</f>
        <v>FTE</v>
      </c>
      <c r="J103" s="515" t="str">
        <f>[1]Salaries!$I$4</f>
        <v>Total Salary</v>
      </c>
      <c r="K103" s="515" t="str">
        <f>[1]Salaries!$J$4</f>
        <v>Average Salary</v>
      </c>
      <c r="L103" s="139"/>
      <c r="M103" s="516" t="str">
        <f>C102</f>
        <v>2023-24 Actual</v>
      </c>
      <c r="N103" s="516" t="str">
        <f>F102</f>
        <v>2024-25 Actual</v>
      </c>
      <c r="O103" s="516" t="str">
        <f>I102</f>
        <v>2025-26 Contracted</v>
      </c>
    </row>
    <row r="104" spans="2:15">
      <c r="B104" s="517" t="str">
        <f>[1]Salaries!$A$5</f>
        <v>Administrators (Licensed/Non-Licensed)</v>
      </c>
      <c r="C104" s="518">
        <f>[1]Salaries!$B$5</f>
        <v>1.5</v>
      </c>
      <c r="D104" s="519">
        <f>[1]Salaries!$C$5</f>
        <v>115358</v>
      </c>
      <c r="E104" s="519">
        <f>[1]Salaries!$D$5</f>
        <v>76905</v>
      </c>
      <c r="F104" s="518">
        <f>[1]Salaries!$E$5</f>
        <v>1.5</v>
      </c>
      <c r="G104" s="519">
        <f>[1]Salaries!$F$5</f>
        <v>111000</v>
      </c>
      <c r="H104" s="519">
        <f>[1]Salaries!$G$5</f>
        <v>74000</v>
      </c>
      <c r="I104" s="518">
        <f>[1]Salaries!$H$5</f>
        <v>1.2</v>
      </c>
      <c r="J104" s="519">
        <f>[1]Salaries!$I$5</f>
        <v>108000</v>
      </c>
      <c r="K104" s="519">
        <f>[1]Salaries!$J$5</f>
        <v>90000</v>
      </c>
      <c r="L104" s="139" t="str">
        <f>IF(AND($E104&lt;=0,$H104&lt;=0,$J104&lt;=0),"",$B104)</f>
        <v>Administrators (Licensed/Non-Licensed)</v>
      </c>
      <c r="M104" s="503">
        <f>IF(AND($E104&lt;=0,$H104&lt;=0,$K104&lt;=0),#N/A,IF($E104&lt;=0,0,$E104))</f>
        <v>76905</v>
      </c>
      <c r="N104" s="503">
        <f>IF(AND($E104&lt;=0,$H104&lt;=0,$K104&lt;=0),#N/A,IF($H104&lt;=0,0,$H104))</f>
        <v>74000</v>
      </c>
      <c r="O104" s="503">
        <f>IF(AND($E104&lt;=0,$H104&lt;=0,$K104&lt;=0),#N/A,IF($K104&lt;=0,0,$K104))</f>
        <v>90000</v>
      </c>
    </row>
    <row r="105" spans="2:15">
      <c r="B105" s="520" t="str">
        <f>[1]Salaries!$A$6</f>
        <v>Teachers (Full Time)</v>
      </c>
      <c r="C105" s="521">
        <f>[1]Salaries!$B$6</f>
        <v>5</v>
      </c>
      <c r="D105" s="522">
        <f>[1]Salaries!$C$6</f>
        <v>291328</v>
      </c>
      <c r="E105" s="522">
        <f>[1]Salaries!$D$6</f>
        <v>58266</v>
      </c>
      <c r="F105" s="521">
        <f>[1]Salaries!$E$6</f>
        <v>5</v>
      </c>
      <c r="G105" s="522">
        <f>[1]Salaries!$F$6</f>
        <v>296325</v>
      </c>
      <c r="H105" s="522">
        <f>[1]Salaries!$G$6</f>
        <v>59265</v>
      </c>
      <c r="I105" s="521">
        <f>[1]Salaries!$H$6</f>
        <v>6</v>
      </c>
      <c r="J105" s="522">
        <f>[1]Salaries!$I$6</f>
        <v>347150</v>
      </c>
      <c r="K105" s="522">
        <f>[1]Salaries!$J$6</f>
        <v>57858</v>
      </c>
      <c r="L105" s="139" t="str">
        <f>IF(AND($E105&lt;=0,$H105&lt;=0,$J105&lt;=0),"",$B105)</f>
        <v>Teachers (Full Time)</v>
      </c>
      <c r="M105" s="503">
        <f>IF(AND($E105&lt;=0,$H105&lt;=0,$K105&lt;=0),#N/A,IF($E105&lt;=0,0,$E105))</f>
        <v>58266</v>
      </c>
      <c r="N105" s="503">
        <f>IF(AND($E105&lt;=0,$H105&lt;=0,$K105&lt;=0),#N/A,IF($H105&lt;=0,0,$H105))</f>
        <v>59265</v>
      </c>
      <c r="O105" s="503">
        <f>IF(AND($E105&lt;=0,$H105&lt;=0,$K105&lt;=0),#N/A,IF($K105&lt;=0,0,$K105))</f>
        <v>57858</v>
      </c>
    </row>
    <row r="106" spans="2:15">
      <c r="B106" s="517" t="str">
        <f>[1]Salaries!$A$7</f>
        <v>Other Licensed Personnel</v>
      </c>
      <c r="C106" s="518">
        <f>[1]Salaries!$B$7</f>
        <v>1</v>
      </c>
      <c r="D106" s="519">
        <f>[1]Salaries!$C$7</f>
        <v>20873</v>
      </c>
      <c r="E106" s="519">
        <f>[1]Salaries!$D$7</f>
        <v>20873</v>
      </c>
      <c r="F106" s="518">
        <f>[1]Salaries!$E$7</f>
        <v>1</v>
      </c>
      <c r="G106" s="519">
        <f>[1]Salaries!$F$7</f>
        <v>26000</v>
      </c>
      <c r="H106" s="519">
        <f>[1]Salaries!$G$7</f>
        <v>26000</v>
      </c>
      <c r="I106" s="518">
        <f>[1]Salaries!$H$7</f>
        <v>1</v>
      </c>
      <c r="J106" s="519">
        <f>[1]Salaries!$I$7</f>
        <v>7200</v>
      </c>
      <c r="K106" s="519">
        <f>[1]Salaries!$J$7</f>
        <v>7200</v>
      </c>
      <c r="L106" s="139" t="str">
        <f>IF(AND($E106&lt;=0,$H106&lt;=0,$J106&lt;=0),"",$B106)</f>
        <v>Other Licensed Personnel</v>
      </c>
      <c r="M106" s="503">
        <f>IF(AND($E106&lt;=0,$H106&lt;=0,$K106&lt;=0),#N/A,IF($E106&lt;=0,0,$E106))</f>
        <v>20873</v>
      </c>
      <c r="N106" s="503">
        <f>IF(AND($E106&lt;=0,$H106&lt;=0,$K106&lt;=0),#N/A,IF($H106&lt;=0,0,$H106))</f>
        <v>26000</v>
      </c>
      <c r="O106" s="503">
        <f>IF(AND($E106&lt;=0,$H106&lt;=0,$K106&lt;=0),#N/A,IF($K106&lt;=0,0,$K106))</f>
        <v>7200</v>
      </c>
    </row>
    <row r="107" spans="2:15">
      <c r="B107" s="520" t="str">
        <f>[1]Salaries!$A$8</f>
        <v>Classified Personnel</v>
      </c>
      <c r="C107" s="521">
        <f>[1]Salaries!$B$8</f>
        <v>10</v>
      </c>
      <c r="D107" s="522">
        <f>[1]Salaries!$C$8</f>
        <v>251164</v>
      </c>
      <c r="E107" s="522">
        <f>[1]Salaries!$D$8</f>
        <v>25116</v>
      </c>
      <c r="F107" s="521">
        <f>[1]Salaries!$E$8</f>
        <v>10</v>
      </c>
      <c r="G107" s="522">
        <f>[1]Salaries!$F$8</f>
        <v>324108</v>
      </c>
      <c r="H107" s="522">
        <f>[1]Salaries!$G$8</f>
        <v>32411</v>
      </c>
      <c r="I107" s="521">
        <f>[1]Salaries!$H$8</f>
        <v>11</v>
      </c>
      <c r="J107" s="522">
        <f>[1]Salaries!$I$8</f>
        <v>320600</v>
      </c>
      <c r="K107" s="522">
        <f>[1]Salaries!$J$8</f>
        <v>29145</v>
      </c>
      <c r="L107" s="139" t="str">
        <f>IF(AND($E107&lt;=0,$H107&lt;=0,$J107&lt;=0),"",$B107)</f>
        <v>Classified Personnel</v>
      </c>
      <c r="M107" s="503">
        <f>IF(AND($E107&lt;=0,$H107&lt;=0,$K107&lt;=0),#N/A,IF($E107&lt;=0,0,$E107))</f>
        <v>25116</v>
      </c>
      <c r="N107" s="503">
        <f>IF(AND($E107&lt;=0,$H107&lt;=0,$K107&lt;=0),#N/A,IF($H107&lt;=0,0,$H107))</f>
        <v>32411</v>
      </c>
      <c r="O107" s="503">
        <f>IF(AND($E107&lt;=0,$H107&lt;=0,$K107&lt;=0),#N/A,IF($K107&lt;=0,0,$K107))</f>
        <v>29145</v>
      </c>
    </row>
    <row r="108" spans="2:15">
      <c r="B108" s="517" t="str">
        <f>[1]Salaries!$A$9</f>
        <v>Substitutes/Temporary Help</v>
      </c>
      <c r="C108" s="543" t="str">
        <f>[1]Salaries!$B$9</f>
        <v>~~~~~~</v>
      </c>
      <c r="D108" s="519">
        <f>[1]Salaries!$C$9</f>
        <v>3102</v>
      </c>
      <c r="E108" s="543" t="str">
        <f>[1]Salaries!$D$9</f>
        <v>~~~~~~</v>
      </c>
      <c r="F108" s="543" t="str">
        <f>[1]Salaries!$E$9</f>
        <v>~~~~~~</v>
      </c>
      <c r="G108" s="519">
        <f>[1]Salaries!$F$9</f>
        <v>5000</v>
      </c>
      <c r="H108" s="543" t="str">
        <f>[1]Salaries!$G$9</f>
        <v>~~~~~~</v>
      </c>
      <c r="I108" s="543" t="str">
        <f>[1]Salaries!$H$9</f>
        <v>~~~~~~</v>
      </c>
      <c r="J108" s="519">
        <f>[1]Salaries!$I$9</f>
        <v>5500</v>
      </c>
      <c r="K108" s="543" t="str">
        <f>[1]Salaries!$J$9</f>
        <v>~~~~~~</v>
      </c>
    </row>
    <row r="110" spans="2:15">
      <c r="L110" s="139"/>
    </row>
    <row r="111" spans="2:15">
      <c r="B111" s="523"/>
      <c r="C111" s="983"/>
      <c r="D111" s="983"/>
      <c r="E111" s="983"/>
      <c r="F111" s="983"/>
      <c r="G111" s="983"/>
      <c r="H111" s="983"/>
      <c r="I111" s="983"/>
      <c r="J111" s="983"/>
      <c r="K111" s="983"/>
      <c r="L111" s="139"/>
    </row>
    <row r="112" spans="2:15">
      <c r="B112" s="524"/>
      <c r="C112" s="139"/>
      <c r="D112" s="139"/>
      <c r="E112" s="139"/>
      <c r="F112" s="139"/>
      <c r="G112" s="139"/>
      <c r="H112" s="139"/>
      <c r="I112" s="139"/>
      <c r="J112" s="139"/>
      <c r="K112" s="139"/>
      <c r="L112" s="139"/>
    </row>
    <row r="113" spans="2:12">
      <c r="B113" s="524"/>
      <c r="C113" s="983"/>
      <c r="D113" s="983"/>
      <c r="E113" s="983"/>
      <c r="F113" s="983"/>
      <c r="G113" s="983"/>
      <c r="H113" s="983"/>
      <c r="I113" s="983"/>
      <c r="J113" s="983"/>
      <c r="K113" s="983"/>
      <c r="L113" s="139"/>
    </row>
    <row r="114" spans="2:12">
      <c r="B114" s="524"/>
      <c r="C114" s="139"/>
      <c r="D114" s="139"/>
      <c r="E114" s="139"/>
      <c r="F114" s="139"/>
      <c r="G114" s="139"/>
      <c r="H114" s="139"/>
      <c r="I114" s="139"/>
      <c r="J114" s="139"/>
      <c r="K114" s="139"/>
      <c r="L114" s="139"/>
    </row>
    <row r="115" spans="2:12">
      <c r="B115" s="523"/>
      <c r="C115" s="983"/>
      <c r="D115" s="983"/>
      <c r="E115" s="983"/>
      <c r="F115" s="983"/>
      <c r="G115" s="983"/>
      <c r="H115" s="983"/>
      <c r="I115" s="983"/>
      <c r="J115" s="983"/>
      <c r="K115" s="983"/>
      <c r="L115" s="139"/>
    </row>
    <row r="116" spans="2:12">
      <c r="B116" s="524"/>
      <c r="C116" s="139"/>
      <c r="D116" s="139"/>
      <c r="E116" s="139"/>
      <c r="F116" s="139"/>
      <c r="G116" s="139"/>
      <c r="H116" s="139"/>
      <c r="I116" s="139"/>
      <c r="J116" s="139"/>
      <c r="K116" s="139"/>
      <c r="L116" s="139"/>
    </row>
    <row r="117" spans="2:12">
      <c r="B117" s="523"/>
      <c r="C117" s="983"/>
      <c r="D117" s="983"/>
      <c r="E117" s="983"/>
      <c r="F117" s="983"/>
      <c r="G117" s="983"/>
      <c r="H117" s="983"/>
      <c r="I117" s="983"/>
      <c r="J117" s="983"/>
      <c r="K117" s="983"/>
      <c r="L117" s="139"/>
    </row>
    <row r="118" spans="2:12">
      <c r="B118" s="524"/>
      <c r="C118" s="139"/>
      <c r="D118" s="139"/>
      <c r="E118" s="139"/>
      <c r="F118" s="139"/>
      <c r="G118" s="139"/>
      <c r="H118" s="139"/>
      <c r="I118" s="139"/>
      <c r="J118" s="139"/>
      <c r="K118" s="139"/>
      <c r="L118" s="139"/>
    </row>
    <row r="119" spans="2:12">
      <c r="B119" s="523"/>
      <c r="C119" s="983"/>
      <c r="D119" s="983"/>
      <c r="E119" s="983"/>
      <c r="F119" s="983"/>
      <c r="G119" s="983"/>
      <c r="H119" s="983"/>
      <c r="I119" s="983"/>
      <c r="J119" s="983"/>
      <c r="K119" s="983"/>
      <c r="L119" s="139"/>
    </row>
    <row r="120" spans="2:12">
      <c r="B120" s="524"/>
      <c r="C120" s="139"/>
      <c r="D120" s="139"/>
      <c r="E120" s="139"/>
      <c r="F120" s="139"/>
      <c r="G120" s="139"/>
      <c r="H120" s="139"/>
      <c r="I120" s="139"/>
      <c r="J120" s="139"/>
      <c r="K120" s="139"/>
      <c r="L120" s="139"/>
    </row>
    <row r="121" spans="2:12">
      <c r="B121" s="524"/>
      <c r="C121" s="525"/>
      <c r="D121" s="139"/>
      <c r="E121" s="139"/>
      <c r="F121" s="139"/>
      <c r="G121" s="139"/>
      <c r="H121" s="139"/>
      <c r="I121" s="139"/>
      <c r="J121" s="139"/>
      <c r="K121" s="139"/>
      <c r="L121" s="139"/>
    </row>
    <row r="122" spans="2:12">
      <c r="B122" s="526"/>
      <c r="C122" s="314"/>
      <c r="D122" s="314"/>
      <c r="E122" s="314"/>
      <c r="F122" s="314"/>
      <c r="G122" s="314"/>
      <c r="H122" s="314"/>
      <c r="I122" s="314"/>
      <c r="J122" s="314"/>
      <c r="K122" s="314"/>
      <c r="L122" s="139"/>
    </row>
    <row r="123" spans="2:12">
      <c r="B123" s="523"/>
      <c r="C123" s="983"/>
      <c r="D123" s="983"/>
      <c r="E123" s="983"/>
      <c r="F123" s="983"/>
      <c r="G123" s="983"/>
      <c r="H123" s="983"/>
      <c r="I123" s="983"/>
      <c r="J123" s="983"/>
      <c r="K123" s="983"/>
      <c r="L123" s="139"/>
    </row>
    <row r="124" spans="2:12">
      <c r="B124" s="314"/>
      <c r="C124" s="314"/>
      <c r="D124" s="314"/>
      <c r="E124" s="314"/>
      <c r="F124" s="314"/>
      <c r="G124" s="314"/>
      <c r="H124" s="314"/>
      <c r="I124" s="314"/>
      <c r="J124" s="314"/>
      <c r="K124" s="314"/>
      <c r="L124" s="139"/>
    </row>
    <row r="125" spans="2:12">
      <c r="B125" s="982"/>
      <c r="C125" s="982"/>
      <c r="D125" s="982"/>
      <c r="E125" s="982"/>
      <c r="F125" s="982"/>
      <c r="G125" s="982"/>
      <c r="H125" s="982"/>
      <c r="I125" s="982"/>
      <c r="J125" s="982"/>
      <c r="K125" s="982"/>
      <c r="L125" s="139"/>
    </row>
    <row r="126" spans="2:12">
      <c r="B126" s="314"/>
      <c r="C126" s="314"/>
      <c r="D126" s="314"/>
      <c r="E126" s="314"/>
      <c r="F126" s="314"/>
      <c r="G126" s="314"/>
      <c r="H126" s="314"/>
      <c r="I126" s="314"/>
      <c r="J126" s="314"/>
      <c r="K126" s="314"/>
      <c r="L126" s="139"/>
    </row>
    <row r="127" spans="2:12">
      <c r="B127" s="206"/>
      <c r="C127" s="314"/>
      <c r="D127" s="314"/>
      <c r="E127" s="314"/>
      <c r="F127" s="314"/>
      <c r="G127" s="314"/>
      <c r="H127" s="314"/>
      <c r="I127" s="314"/>
      <c r="J127" s="314"/>
      <c r="K127" s="314"/>
      <c r="L127" s="139"/>
    </row>
    <row r="128" spans="2:12">
      <c r="B128" s="314"/>
      <c r="C128" s="314"/>
      <c r="D128" s="314"/>
      <c r="E128" s="314"/>
      <c r="F128" s="314"/>
      <c r="G128" s="314"/>
      <c r="H128" s="314"/>
      <c r="I128" s="314"/>
      <c r="J128" s="314"/>
      <c r="K128" s="314"/>
      <c r="L128" s="139"/>
    </row>
    <row r="129" spans="2:12">
      <c r="B129" s="982"/>
      <c r="C129" s="982"/>
      <c r="D129" s="982"/>
      <c r="E129" s="982"/>
      <c r="F129" s="982"/>
      <c r="G129" s="982"/>
      <c r="H129" s="982"/>
      <c r="I129" s="982"/>
      <c r="J129" s="982"/>
      <c r="K129" s="982"/>
      <c r="L129" s="139"/>
    </row>
    <row r="130" spans="2:12">
      <c r="B130" s="314"/>
      <c r="C130" s="314"/>
      <c r="D130" s="314"/>
      <c r="E130" s="314"/>
      <c r="F130" s="314"/>
      <c r="G130" s="314"/>
      <c r="H130" s="314"/>
      <c r="I130" s="314"/>
      <c r="J130" s="314"/>
      <c r="K130" s="314"/>
      <c r="L130" s="139"/>
    </row>
    <row r="131" spans="2:12">
      <c r="B131" s="982"/>
      <c r="C131" s="982"/>
      <c r="D131" s="982"/>
      <c r="E131" s="982"/>
      <c r="F131" s="982"/>
      <c r="G131" s="982"/>
      <c r="H131" s="982"/>
      <c r="I131" s="982"/>
      <c r="J131" s="982"/>
      <c r="K131" s="982"/>
      <c r="L131" s="139"/>
    </row>
    <row r="132" spans="2:12">
      <c r="B132" s="314"/>
      <c r="C132" s="314"/>
      <c r="D132" s="314"/>
      <c r="E132" s="314"/>
      <c r="F132" s="314"/>
      <c r="G132" s="314"/>
      <c r="H132" s="314"/>
      <c r="I132" s="314"/>
      <c r="J132" s="314"/>
      <c r="K132" s="314"/>
      <c r="L132" s="139"/>
    </row>
  </sheetData>
  <sheetProtection algorithmName="SHA-512" hashValue="N96CgkmbeG61XnoLMTk0QYc0KZYqaQ+oS7WNZBh5OLWolYoWoPSUDcYdCGZX1snaTi3Oe5oA6b/N42HVNmiDGA==" saltValue="1ynzUcRtVdU2UnaVk7Fj9A==" spinCount="100000" sheet="1" objects="1" scenarios="1"/>
  <customSheetViews>
    <customSheetView guid="{C7C7AC58-22C5-451E-8108-D7214AD66698}" showGridLines="0" state="hidden">
      <selection activeCell="J58" sqref="J58"/>
      <pageMargins left="0.2" right="0.2" top="0.5" bottom="0.5" header="0.3" footer="0.3"/>
      <printOptions horizontalCentered="1"/>
      <pageSetup orientation="portrait" r:id="rId1"/>
    </customSheetView>
  </customSheetViews>
  <mergeCells count="18">
    <mergeCell ref="B62:K62"/>
    <mergeCell ref="B45:E45"/>
    <mergeCell ref="B44:E44"/>
    <mergeCell ref="B100:K100"/>
    <mergeCell ref="C117:K117"/>
    <mergeCell ref="F102:H102"/>
    <mergeCell ref="I102:K102"/>
    <mergeCell ref="C111:K111"/>
    <mergeCell ref="C113:K113"/>
    <mergeCell ref="C102:E102"/>
    <mergeCell ref="C115:K115"/>
    <mergeCell ref="G47:J60"/>
    <mergeCell ref="B125:K125"/>
    <mergeCell ref="C123:K123"/>
    <mergeCell ref="B129:K129"/>
    <mergeCell ref="B131:K131"/>
    <mergeCell ref="B91:K91"/>
    <mergeCell ref="C119:K119"/>
  </mergeCells>
  <printOptions horizontalCentered="1"/>
  <pageMargins left="0.2" right="0.2" top="0.5" bottom="0.5" header="0.3" footer="0.3"/>
  <pageSetup orientation="portrait" r:id="rId2"/>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tabColor rgb="FFFF0000"/>
  </sheetPr>
  <dimension ref="B1:F88"/>
  <sheetViews>
    <sheetView workbookViewId="0"/>
  </sheetViews>
  <sheetFormatPr defaultColWidth="9.140625" defaultRowHeight="14.25"/>
  <cols>
    <col min="1" max="1" width="9.140625" style="80"/>
    <col min="2" max="2" width="28" style="80" bestFit="1" customWidth="1"/>
    <col min="3" max="5" width="15" style="80" customWidth="1"/>
    <col min="6" max="6" width="5.85546875" style="80" customWidth="1"/>
    <col min="7" max="16384" width="9.140625" style="80"/>
  </cols>
  <sheetData>
    <row r="1" spans="2:6" ht="15">
      <c r="C1" s="527"/>
    </row>
    <row r="4" spans="2:6">
      <c r="E4" s="488" t="s">
        <v>0</v>
      </c>
      <c r="F4" s="6">
        <f>[1]OPEN!$B$4</f>
        <v>225</v>
      </c>
    </row>
    <row r="6" spans="2:6" ht="15">
      <c r="B6" s="984" t="s">
        <v>134</v>
      </c>
      <c r="C6" s="984"/>
      <c r="D6" s="984"/>
      <c r="E6" s="984"/>
    </row>
    <row r="7" spans="2:6">
      <c r="B7" s="2"/>
      <c r="C7" s="528" t="str">
        <f>SUMEXPEN!D4</f>
        <v>2023-2024</v>
      </c>
      <c r="D7" s="528" t="str">
        <f>SUMEXPEN!F4</f>
        <v>2024-2025</v>
      </c>
      <c r="E7" s="528" t="str">
        <f>SUMEXPEN!I4</f>
        <v>2025-2026</v>
      </c>
    </row>
    <row r="8" spans="2:6" ht="15" thickBot="1">
      <c r="B8" s="2"/>
      <c r="C8" s="491" t="s">
        <v>5</v>
      </c>
      <c r="D8" s="491" t="s">
        <v>5</v>
      </c>
      <c r="E8" s="491" t="s">
        <v>6</v>
      </c>
    </row>
    <row r="9" spans="2:6">
      <c r="B9" s="152" t="s">
        <v>8</v>
      </c>
      <c r="C9" s="492">
        <f>SUMEXPEN!D353</f>
        <v>938685</v>
      </c>
      <c r="D9" s="492">
        <f>SUMEXPEN!F353</f>
        <v>1968697</v>
      </c>
      <c r="E9" s="492">
        <f>SUMEXPEN!J353</f>
        <v>1412804</v>
      </c>
    </row>
    <row r="10" spans="2:6">
      <c r="B10" s="160" t="s">
        <v>10</v>
      </c>
      <c r="C10" s="493">
        <f>SUMEXPEN!D417</f>
        <v>2063</v>
      </c>
      <c r="D10" s="493">
        <f>SUMEXPEN!F417</f>
        <v>267</v>
      </c>
      <c r="E10" s="493">
        <f>SUMEXPEN!J417</f>
        <v>0</v>
      </c>
    </row>
    <row r="11" spans="2:6">
      <c r="B11" s="152" t="s">
        <v>11</v>
      </c>
      <c r="C11" s="494">
        <f>SUMEXPEN!D481</f>
        <v>1258</v>
      </c>
      <c r="D11" s="494">
        <f>SUMEXPEN!F481</f>
        <v>240</v>
      </c>
      <c r="E11" s="494">
        <f>SUMEXPEN!J481</f>
        <v>100</v>
      </c>
    </row>
    <row r="12" spans="2:6">
      <c r="B12" s="160" t="s">
        <v>131</v>
      </c>
      <c r="C12" s="493">
        <f>SUMEXPEN!D546+SUMEXPEN!D610+SUMEXPEN!D674</f>
        <v>256195</v>
      </c>
      <c r="D12" s="493">
        <f>SUMEXPEN!F546+SUMEXPEN!F610+SUMEXPEN!F674</f>
        <v>263732</v>
      </c>
      <c r="E12" s="493">
        <f>SUMEXPEN!J546+SUMEXPEN!J610+SUMEXPEN!J674</f>
        <v>266917</v>
      </c>
    </row>
    <row r="13" spans="2:6">
      <c r="B13" s="152" t="s">
        <v>12</v>
      </c>
      <c r="C13" s="494">
        <f>SUMEXPEN!D738</f>
        <v>397475</v>
      </c>
      <c r="D13" s="494">
        <f>SUMEXPEN!F738</f>
        <v>693565</v>
      </c>
      <c r="E13" s="494">
        <f>SUMEXPEN!J738</f>
        <v>624676</v>
      </c>
    </row>
    <row r="14" spans="2:6">
      <c r="B14" s="160" t="s">
        <v>13</v>
      </c>
      <c r="C14" s="493">
        <f>SUMEXPEN!D802</f>
        <v>54953</v>
      </c>
      <c r="D14" s="493">
        <f>SUMEXPEN!F802</f>
        <v>58431</v>
      </c>
      <c r="E14" s="493">
        <f>SUMEXPEN!J802</f>
        <v>191507</v>
      </c>
    </row>
    <row r="15" spans="2:6">
      <c r="B15" s="152" t="s">
        <v>14</v>
      </c>
      <c r="C15" s="494">
        <f>SUMEXPEN!D930</f>
        <v>122157</v>
      </c>
      <c r="D15" s="494">
        <f>SUMEXPEN!F930</f>
        <v>133439</v>
      </c>
      <c r="E15" s="494">
        <f>SUMEXPEN!J930</f>
        <v>129500</v>
      </c>
    </row>
    <row r="16" spans="2:6">
      <c r="B16" s="160" t="s">
        <v>15</v>
      </c>
      <c r="C16" s="493">
        <f>SUMEXPEN!D1059</f>
        <v>39926</v>
      </c>
      <c r="D16" s="493">
        <f>SUMEXPEN!F1059</f>
        <v>0</v>
      </c>
      <c r="E16" s="493">
        <f>SUMEXPEN!J1059</f>
        <v>25000</v>
      </c>
    </row>
    <row r="17" spans="2:5">
      <c r="B17" s="152" t="s">
        <v>16</v>
      </c>
      <c r="C17" s="494">
        <f>SUMEXPEN!D1123</f>
        <v>153725</v>
      </c>
      <c r="D17" s="494">
        <f>SUMEXPEN!F1123</f>
        <v>154900</v>
      </c>
      <c r="E17" s="494">
        <f>SUMEXPEN!J1123</f>
        <v>154900</v>
      </c>
    </row>
    <row r="18" spans="2:5" ht="15" thickBot="1">
      <c r="B18" s="169" t="s">
        <v>17</v>
      </c>
      <c r="C18" s="495">
        <f>SUMEXPEN!D866+SUMEXPEN!D994</f>
        <v>7174</v>
      </c>
      <c r="D18" s="495">
        <f>SUMEXPEN!F866+SUMEXPEN!F994</f>
        <v>219</v>
      </c>
      <c r="E18" s="495">
        <f>SUMEXPEN!J866+SUMEXPEN!J994</f>
        <v>0</v>
      </c>
    </row>
    <row r="19" spans="2:5" ht="15" thickTop="1">
      <c r="B19" s="496" t="s">
        <v>125</v>
      </c>
      <c r="C19" s="529">
        <f>SUM(C9:C18)</f>
        <v>1973611</v>
      </c>
      <c r="D19" s="497">
        <f>SUM(D9:D18)</f>
        <v>3273490</v>
      </c>
      <c r="E19" s="497">
        <f>SUM(E9:E18)</f>
        <v>2805404</v>
      </c>
    </row>
    <row r="20" spans="2:5">
      <c r="B20" s="4"/>
    </row>
    <row r="21" spans="2:5">
      <c r="B21" s="4"/>
    </row>
    <row r="22" spans="2:5">
      <c r="B22" s="4"/>
    </row>
    <row r="23" spans="2:5">
      <c r="B23" s="4"/>
    </row>
    <row r="24" spans="2:5">
      <c r="B24" s="4"/>
    </row>
    <row r="25" spans="2:5">
      <c r="B25" s="4"/>
    </row>
    <row r="26" spans="2:5">
      <c r="B26" s="4"/>
    </row>
    <row r="27" spans="2:5">
      <c r="B27" s="4"/>
    </row>
    <row r="28" spans="2:5">
      <c r="B28" s="4"/>
    </row>
    <row r="29" spans="2:5">
      <c r="B29" s="4"/>
    </row>
    <row r="30" spans="2:5">
      <c r="B30" s="4"/>
    </row>
    <row r="31" spans="2:5">
      <c r="B31" s="4"/>
    </row>
    <row r="32" spans="2:5">
      <c r="B32" s="4"/>
    </row>
    <row r="33" spans="2:6">
      <c r="B33" s="4"/>
    </row>
    <row r="34" spans="2:6">
      <c r="B34" s="4"/>
    </row>
    <row r="35" spans="2:6">
      <c r="B35" s="4"/>
    </row>
    <row r="36" spans="2:6">
      <c r="B36" s="4"/>
    </row>
    <row r="37" spans="2:6">
      <c r="B37" s="4"/>
    </row>
    <row r="38" spans="2:6">
      <c r="B38" s="4"/>
    </row>
    <row r="39" spans="2:6">
      <c r="B39" s="4"/>
    </row>
    <row r="40" spans="2:6">
      <c r="B40" s="4"/>
    </row>
    <row r="41" spans="2:6">
      <c r="B41" s="4"/>
    </row>
    <row r="42" spans="2:6">
      <c r="B42" s="4"/>
    </row>
    <row r="43" spans="2:6" ht="95.25" customHeight="1">
      <c r="B43" s="985" t="s">
        <v>141</v>
      </c>
      <c r="C43" s="985"/>
      <c r="D43" s="985"/>
      <c r="E43" s="985"/>
      <c r="F43" s="985"/>
    </row>
    <row r="44" spans="2:6">
      <c r="B44" s="4"/>
    </row>
    <row r="45" spans="2:6">
      <c r="B45" s="4"/>
    </row>
    <row r="46" spans="2:6">
      <c r="B46" s="4"/>
    </row>
    <row r="47" spans="2:6">
      <c r="B47" s="4"/>
      <c r="E47" s="488" t="s">
        <v>0</v>
      </c>
      <c r="F47" s="6">
        <f>[1]OPEN!$B$4</f>
        <v>225</v>
      </c>
    </row>
    <row r="48" spans="2:6">
      <c r="B48" s="4"/>
    </row>
    <row r="49" spans="2:5" ht="15">
      <c r="B49" s="984" t="s">
        <v>135</v>
      </c>
      <c r="C49" s="984"/>
      <c r="D49" s="984"/>
      <c r="E49" s="984"/>
    </row>
    <row r="50" spans="2:5">
      <c r="B50" s="2"/>
      <c r="C50" s="530" t="str">
        <f>SUMEXPEN!D4</f>
        <v>2023-2024</v>
      </c>
      <c r="D50" s="530" t="str">
        <f>SUMEXPEN!F4</f>
        <v>2024-2025</v>
      </c>
      <c r="E50" s="530" t="str">
        <f>SUMEXPEN!I4</f>
        <v>2025-2026</v>
      </c>
    </row>
    <row r="51" spans="2:5" ht="15" thickBot="1">
      <c r="B51" s="2"/>
      <c r="C51" s="531" t="s">
        <v>5</v>
      </c>
      <c r="D51" s="531" t="s">
        <v>5</v>
      </c>
      <c r="E51" s="531" t="s">
        <v>6</v>
      </c>
    </row>
    <row r="52" spans="2:5">
      <c r="B52" s="1" t="s">
        <v>8</v>
      </c>
      <c r="C52" s="532">
        <f>C9/C63</f>
        <v>13277</v>
      </c>
      <c r="D52" s="532">
        <f>D9/D63</f>
        <v>23863</v>
      </c>
      <c r="E52" s="532">
        <f>E9/E63</f>
        <v>20183</v>
      </c>
    </row>
    <row r="53" spans="2:5">
      <c r="B53" s="1" t="s">
        <v>10</v>
      </c>
      <c r="C53" s="533">
        <f>C10/C63</f>
        <v>29</v>
      </c>
      <c r="D53" s="533">
        <f>D10/D63</f>
        <v>3</v>
      </c>
      <c r="E53" s="533">
        <f>E10/E63</f>
        <v>0</v>
      </c>
    </row>
    <row r="54" spans="2:5">
      <c r="B54" s="1" t="s">
        <v>11</v>
      </c>
      <c r="C54" s="533">
        <f>C11/C63</f>
        <v>18</v>
      </c>
      <c r="D54" s="533">
        <f>D11/D63</f>
        <v>3</v>
      </c>
      <c r="E54" s="533">
        <f>E11/E63</f>
        <v>1</v>
      </c>
    </row>
    <row r="55" spans="2:5">
      <c r="B55" s="1" t="s">
        <v>131</v>
      </c>
      <c r="C55" s="533">
        <f>C12/C63</f>
        <v>3624</v>
      </c>
      <c r="D55" s="533">
        <f>D12/D63</f>
        <v>3197</v>
      </c>
      <c r="E55" s="533">
        <f>E12/E63</f>
        <v>3813</v>
      </c>
    </row>
    <row r="56" spans="2:5">
      <c r="B56" s="1" t="s">
        <v>12</v>
      </c>
      <c r="C56" s="533">
        <f>C13/C63</f>
        <v>5622</v>
      </c>
      <c r="D56" s="533">
        <f>D13/D63</f>
        <v>8407</v>
      </c>
      <c r="E56" s="533">
        <f>E13/E63</f>
        <v>8924</v>
      </c>
    </row>
    <row r="57" spans="2:5">
      <c r="B57" s="1" t="s">
        <v>13</v>
      </c>
      <c r="C57" s="533">
        <f>C14/C63</f>
        <v>777</v>
      </c>
      <c r="D57" s="533">
        <f>D14/D63</f>
        <v>708</v>
      </c>
      <c r="E57" s="533">
        <f>E14/E63</f>
        <v>2736</v>
      </c>
    </row>
    <row r="58" spans="2:5">
      <c r="B58" s="1" t="s">
        <v>14</v>
      </c>
      <c r="C58" s="533">
        <f>C15/C63</f>
        <v>1728</v>
      </c>
      <c r="D58" s="533">
        <f>D15/D63</f>
        <v>1617</v>
      </c>
      <c r="E58" s="533">
        <f>E15/E63</f>
        <v>1850</v>
      </c>
    </row>
    <row r="59" spans="2:5">
      <c r="B59" s="1" t="s">
        <v>15</v>
      </c>
      <c r="C59" s="533">
        <f>C16/C63</f>
        <v>565</v>
      </c>
      <c r="D59" s="533">
        <f>D16/D63</f>
        <v>0</v>
      </c>
      <c r="E59" s="533">
        <f>E16/E63</f>
        <v>357</v>
      </c>
    </row>
    <row r="60" spans="2:5">
      <c r="B60" s="1" t="s">
        <v>16</v>
      </c>
      <c r="C60" s="533">
        <f>C17/C63</f>
        <v>2174</v>
      </c>
      <c r="D60" s="533">
        <f>D17/D63</f>
        <v>1878</v>
      </c>
      <c r="E60" s="533">
        <f>E17/E63</f>
        <v>2213</v>
      </c>
    </row>
    <row r="61" spans="2:5" ht="15" thickBot="1">
      <c r="B61" s="1" t="s">
        <v>17</v>
      </c>
      <c r="C61" s="534">
        <f>C18/C63</f>
        <v>101</v>
      </c>
      <c r="D61" s="534">
        <f>D18/D63</f>
        <v>3</v>
      </c>
      <c r="E61" s="534">
        <f>E18/E63</f>
        <v>0</v>
      </c>
    </row>
    <row r="62" spans="2:5" ht="15.75" thickTop="1" thickBot="1">
      <c r="B62" s="55" t="s">
        <v>166</v>
      </c>
      <c r="C62" s="535">
        <f>SUM(C9:C18)/C63</f>
        <v>27915</v>
      </c>
      <c r="D62" s="535">
        <f>SUM(D9:D18)/D63</f>
        <v>39679</v>
      </c>
      <c r="E62" s="535">
        <f>IF(E63=0,0,SUM(E9:E18)/E63)</f>
        <v>40077</v>
      </c>
    </row>
    <row r="63" spans="2:5">
      <c r="B63" s="57" t="s">
        <v>62</v>
      </c>
      <c r="C63" s="536">
        <f>SUMEXPEN!$D$354</f>
        <v>70.7</v>
      </c>
      <c r="D63" s="536">
        <f>SUMEXPEN!$F$354</f>
        <v>82.5</v>
      </c>
      <c r="E63" s="536">
        <f>SUMEXPEN!$J$354</f>
        <v>70</v>
      </c>
    </row>
    <row r="64" spans="2:5" ht="9" customHeight="1"/>
    <row r="65" spans="2:6" ht="66" customHeight="1">
      <c r="B65" s="986" t="s">
        <v>167</v>
      </c>
      <c r="C65" s="986"/>
      <c r="D65" s="986"/>
      <c r="E65" s="986"/>
      <c r="F65" s="986"/>
    </row>
    <row r="66" spans="2:6" ht="9" customHeight="1"/>
    <row r="88" spans="2:6" ht="91.5" customHeight="1">
      <c r="B88" s="987" t="s">
        <v>142</v>
      </c>
      <c r="C88" s="987"/>
      <c r="D88" s="987"/>
      <c r="E88" s="987"/>
      <c r="F88" s="987"/>
    </row>
  </sheetData>
  <sheetProtection algorithmName="SHA-512" hashValue="MUZagmCVq9RK7tS74gbuKCMueeiH+HgNyaMFPYGg13eTBWTdGP/EKbEh4VVQvvfE9t/rz1Pf4nJoEtoqmxFTZQ==" saltValue="oQbwDfp0qj0zdo/KBMhP4A==" spinCount="100000" sheet="1" objects="1" scenarios="1"/>
  <customSheetViews>
    <customSheetView guid="{C7C7AC58-22C5-451E-8108-D7214AD66698}" showPageBreaks="1" printArea="1" state="hidden">
      <pageMargins left="0.7" right="0.7" top="0.75" bottom="0.75" header="0.3" footer="0.3"/>
      <pageSetup orientation="portrait" r:id="rId1"/>
      <headerFooter>
        <oddHeader>&amp;CIntentionally left blank</oddHeader>
      </headerFooter>
    </customSheetView>
  </customSheetViews>
  <mergeCells count="5">
    <mergeCell ref="B6:E6"/>
    <mergeCell ref="B43:F43"/>
    <mergeCell ref="B49:E49"/>
    <mergeCell ref="B65:F65"/>
    <mergeCell ref="B88:F88"/>
  </mergeCells>
  <pageMargins left="0.7" right="0.7" top="0.75" bottom="0.75" header="0.3" footer="0.3"/>
  <pageSetup orientation="portrait" r:id="rId2"/>
  <headerFooter>
    <oddHeader>&amp;CIntentionally left blank</oddHeader>
  </headerFooter>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8</vt:i4>
      </vt:variant>
    </vt:vector>
  </HeadingPairs>
  <TitlesOfParts>
    <vt:vector size="16" baseType="lpstr">
      <vt:lpstr>HELP With Labels</vt:lpstr>
      <vt:lpstr>SUMEXPEN</vt:lpstr>
      <vt:lpstr>CO99a</vt:lpstr>
      <vt:lpstr>1 Pg Summary</vt:lpstr>
      <vt:lpstr>BAG</vt:lpstr>
      <vt:lpstr>Keep2</vt:lpstr>
      <vt:lpstr>Extra</vt:lpstr>
      <vt:lpstr>Extra2</vt:lpstr>
      <vt:lpstr>'1 Pg Summary'!Print_Area</vt:lpstr>
      <vt:lpstr>BAG!Print_Area</vt:lpstr>
      <vt:lpstr>CO99a!Print_Area</vt:lpstr>
      <vt:lpstr>Extra2!Print_Area</vt:lpstr>
      <vt:lpstr>Keep2!Print_Area</vt:lpstr>
      <vt:lpstr>SUMEXPEN!Print_Area</vt:lpstr>
      <vt:lpstr>BAG!Print_Titles</vt:lpstr>
      <vt:lpstr>SUMEXPEN!Print_Titles</vt:lpstr>
    </vt:vector>
  </TitlesOfParts>
  <Company>Ks Dept of Education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dreinert</dc:creator>
  <cp:lastModifiedBy>office meade</cp:lastModifiedBy>
  <cp:lastPrinted>2025-08-12T13:32:52Z</cp:lastPrinted>
  <dcterms:created xsi:type="dcterms:W3CDTF">2013-05-16T16:41:15Z</dcterms:created>
  <dcterms:modified xsi:type="dcterms:W3CDTF">2025-08-12T14:00:08Z</dcterms:modified>
</cp:coreProperties>
</file>